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Administracion\Revisiones Tarifarias Agua y Cloaca\CEB\RTE x Indices\"/>
    </mc:Choice>
  </mc:AlternateContent>
  <xr:revisionPtr revIDLastSave="0" documentId="13_ncr:1_{D602C983-B403-4613-B044-C0ECC5643122}" xr6:coauthVersionLast="47" xr6:coauthVersionMax="47" xr10:uidLastSave="{00000000-0000-0000-0000-000000000000}"/>
  <bookViews>
    <workbookView xWindow="11304" yWindow="12" windowWidth="11532" windowHeight="11928" xr2:uid="{FC8E377D-129A-4737-B6A2-A060B0FB1440}"/>
  </bookViews>
  <sheets>
    <sheet name="Res DPA 997 24" sheetId="16" r:id="rId1"/>
    <sheet name="Res DPA 653 24" sheetId="15" r:id="rId2"/>
    <sheet name="Res DPA 353 24" sheetId="1" r:id="rId3"/>
    <sheet name="Res DPA 40 24" sheetId="2" r:id="rId4"/>
    <sheet name="Res DPA 992 23" sheetId="3" r:id="rId5"/>
    <sheet name="Res DPA 664 23" sheetId="4" r:id="rId6"/>
    <sheet name="Res DPA 341 23" sheetId="5" r:id="rId7"/>
    <sheet name="Res DPA 42 23" sheetId="6" r:id="rId8"/>
    <sheet name="Res DPA 708 22" sheetId="7" r:id="rId9"/>
    <sheet name="Res DPA 290 22" sheetId="8" r:id="rId10"/>
    <sheet name="Res DPA 15 22" sheetId="9" r:id="rId11"/>
    <sheet name="Res DPA 647 21" sheetId="10" r:id="rId12"/>
    <sheet name="Res DPA 282 21" sheetId="11" r:id="rId13"/>
    <sheet name="Res DPA 522 20" sheetId="12" r:id="rId14"/>
    <sheet name="Res DPA 1078 y 1753 19" sheetId="13" r:id="rId15"/>
    <sheet name="Aplicación Res DPA 1752 17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16" l="1"/>
  <c r="W36" i="16"/>
  <c r="Z8" i="16"/>
  <c r="W8" i="16" s="1"/>
  <c r="F40" i="16"/>
  <c r="H40" i="16" s="1"/>
  <c r="F37" i="16"/>
  <c r="G37" i="16" s="1"/>
  <c r="F36" i="16"/>
  <c r="H36" i="16" s="1"/>
  <c r="F33" i="16"/>
  <c r="H33" i="16" s="1"/>
  <c r="F32" i="16"/>
  <c r="G32" i="16" s="1"/>
  <c r="F29" i="16"/>
  <c r="G29" i="16" s="1"/>
  <c r="F28" i="16"/>
  <c r="H28" i="16" s="1"/>
  <c r="F27" i="16"/>
  <c r="H27" i="16" s="1"/>
  <c r="H26" i="16"/>
  <c r="I26" i="16" s="1"/>
  <c r="F26" i="16"/>
  <c r="G26" i="16" s="1"/>
  <c r="F25" i="16"/>
  <c r="G25" i="16" s="1"/>
  <c r="F21" i="16"/>
  <c r="H21" i="16" s="1"/>
  <c r="I21" i="16" s="1"/>
  <c r="F18" i="16"/>
  <c r="H18" i="16" s="1"/>
  <c r="F17" i="16"/>
  <c r="G17" i="16" s="1"/>
  <c r="F13" i="16"/>
  <c r="G13" i="16" s="1"/>
  <c r="F12" i="16"/>
  <c r="H12" i="16" s="1"/>
  <c r="F11" i="16"/>
  <c r="H11" i="16" s="1"/>
  <c r="F10" i="16"/>
  <c r="H10" i="16" s="1"/>
  <c r="J10" i="16" s="1"/>
  <c r="E8" i="16"/>
  <c r="E28" i="16" s="1"/>
  <c r="V40" i="15"/>
  <c r="V37" i="15"/>
  <c r="V36" i="15"/>
  <c r="V33" i="15"/>
  <c r="V32" i="15"/>
  <c r="V29" i="15"/>
  <c r="V28" i="15"/>
  <c r="V27" i="15"/>
  <c r="V26" i="15"/>
  <c r="V25" i="15"/>
  <c r="V21" i="15"/>
  <c r="V18" i="15"/>
  <c r="V17" i="15"/>
  <c r="V13" i="15"/>
  <c r="V12" i="15"/>
  <c r="V11" i="15"/>
  <c r="V10" i="15"/>
  <c r="V8" i="15"/>
  <c r="X8" i="15"/>
  <c r="W27" i="16" l="1"/>
  <c r="W17" i="16"/>
  <c r="W29" i="16"/>
  <c r="W10" i="16"/>
  <c r="W33" i="16"/>
  <c r="W13" i="16"/>
  <c r="W12" i="16"/>
  <c r="W18" i="16"/>
  <c r="W21" i="16"/>
  <c r="W28" i="16"/>
  <c r="W11" i="16"/>
  <c r="W26" i="16"/>
  <c r="W25" i="16"/>
  <c r="X8" i="16"/>
  <c r="W32" i="16"/>
  <c r="W40" i="16"/>
  <c r="G10" i="16"/>
  <c r="G21" i="16"/>
  <c r="E10" i="16"/>
  <c r="J26" i="16"/>
  <c r="H29" i="16"/>
  <c r="J29" i="16" s="1"/>
  <c r="H13" i="16"/>
  <c r="J13" i="16" s="1"/>
  <c r="H25" i="16"/>
  <c r="J25" i="16" s="1"/>
  <c r="I10" i="16"/>
  <c r="H17" i="16"/>
  <c r="H37" i="16"/>
  <c r="J37" i="16" s="1"/>
  <c r="G28" i="16"/>
  <c r="G40" i="16"/>
  <c r="G12" i="16"/>
  <c r="G36" i="16"/>
  <c r="J33" i="16"/>
  <c r="I33" i="16"/>
  <c r="I36" i="16"/>
  <c r="J36" i="16"/>
  <c r="J18" i="16"/>
  <c r="I18" i="16"/>
  <c r="J27" i="16"/>
  <c r="I27" i="16"/>
  <c r="J28" i="16"/>
  <c r="I28" i="16"/>
  <c r="J12" i="16"/>
  <c r="I12" i="16"/>
  <c r="J11" i="16"/>
  <c r="I11" i="16"/>
  <c r="J40" i="16"/>
  <c r="I40" i="16"/>
  <c r="E17" i="16"/>
  <c r="E32" i="16"/>
  <c r="E11" i="16"/>
  <c r="J21" i="16"/>
  <c r="E27" i="16"/>
  <c r="H32" i="16"/>
  <c r="E40" i="16"/>
  <c r="E26" i="16"/>
  <c r="G11" i="16"/>
  <c r="E25" i="16"/>
  <c r="G27" i="16"/>
  <c r="E37" i="16"/>
  <c r="E36" i="16"/>
  <c r="E21" i="16"/>
  <c r="E18" i="16"/>
  <c r="E33" i="16"/>
  <c r="E13" i="16"/>
  <c r="G18" i="16"/>
  <c r="E29" i="16"/>
  <c r="G33" i="16"/>
  <c r="E12" i="16"/>
  <c r="U8" i="15"/>
  <c r="F40" i="15"/>
  <c r="H40" i="15" s="1"/>
  <c r="F37" i="15"/>
  <c r="H37" i="15" s="1"/>
  <c r="F36" i="15"/>
  <c r="H36" i="15" s="1"/>
  <c r="E36" i="15"/>
  <c r="F33" i="15"/>
  <c r="H33" i="15" s="1"/>
  <c r="F32" i="15"/>
  <c r="H32" i="15" s="1"/>
  <c r="F29" i="15"/>
  <c r="H29" i="15" s="1"/>
  <c r="F28" i="15"/>
  <c r="H28" i="15" s="1"/>
  <c r="E28" i="15"/>
  <c r="F27" i="15"/>
  <c r="H27" i="15" s="1"/>
  <c r="F26" i="15"/>
  <c r="H26" i="15" s="1"/>
  <c r="F25" i="15"/>
  <c r="H25" i="15" s="1"/>
  <c r="F21" i="15"/>
  <c r="H21" i="15" s="1"/>
  <c r="E21" i="15"/>
  <c r="F18" i="15"/>
  <c r="H18" i="15" s="1"/>
  <c r="F17" i="15"/>
  <c r="H17" i="15" s="1"/>
  <c r="E17" i="15"/>
  <c r="F13" i="15"/>
  <c r="H13" i="15" s="1"/>
  <c r="F12" i="15"/>
  <c r="H12" i="15" s="1"/>
  <c r="E12" i="15"/>
  <c r="F11" i="15"/>
  <c r="H11" i="15" s="1"/>
  <c r="F10" i="15"/>
  <c r="H10" i="15" s="1"/>
  <c r="E10" i="15"/>
  <c r="E8" i="15"/>
  <c r="E37" i="15" s="1"/>
  <c r="F9" i="14"/>
  <c r="F10" i="14"/>
  <c r="F11" i="14"/>
  <c r="F12" i="14"/>
  <c r="F16" i="14"/>
  <c r="F17" i="14"/>
  <c r="F20" i="14"/>
  <c r="F24" i="14"/>
  <c r="F25" i="14"/>
  <c r="F26" i="14"/>
  <c r="F27" i="14"/>
  <c r="F28" i="14"/>
  <c r="E8" i="13"/>
  <c r="G8" i="13"/>
  <c r="G17" i="13" s="1"/>
  <c r="H8" i="13"/>
  <c r="I8" i="13"/>
  <c r="E10" i="13"/>
  <c r="F10" i="13"/>
  <c r="H10" i="13"/>
  <c r="E11" i="13"/>
  <c r="F11" i="13"/>
  <c r="E12" i="13"/>
  <c r="F12" i="13"/>
  <c r="H12" i="13"/>
  <c r="E13" i="13"/>
  <c r="F13" i="13"/>
  <c r="E17" i="13"/>
  <c r="F17" i="13"/>
  <c r="H17" i="13"/>
  <c r="E18" i="13"/>
  <c r="F18" i="13"/>
  <c r="E21" i="13"/>
  <c r="F21" i="13"/>
  <c r="H21" i="13"/>
  <c r="E25" i="13"/>
  <c r="F25" i="13"/>
  <c r="E26" i="13"/>
  <c r="F26" i="13"/>
  <c r="H26" i="13"/>
  <c r="E27" i="13"/>
  <c r="F27" i="13"/>
  <c r="E28" i="13"/>
  <c r="F28" i="13"/>
  <c r="H28" i="13"/>
  <c r="E29" i="13"/>
  <c r="F29" i="13"/>
  <c r="E32" i="13"/>
  <c r="F32" i="13"/>
  <c r="H32" i="13"/>
  <c r="E33" i="13"/>
  <c r="F33" i="13"/>
  <c r="E36" i="13"/>
  <c r="F36" i="13"/>
  <c r="H36" i="13"/>
  <c r="E37" i="13"/>
  <c r="F37" i="13"/>
  <c r="E8" i="9"/>
  <c r="N8" i="9"/>
  <c r="M11" i="9" s="1"/>
  <c r="F10" i="9"/>
  <c r="G10" i="9"/>
  <c r="H10" i="9"/>
  <c r="I10" i="9"/>
  <c r="J10" i="9"/>
  <c r="E11" i="9"/>
  <c r="F11" i="9"/>
  <c r="G11" i="9" s="1"/>
  <c r="H11" i="9"/>
  <c r="F12" i="9"/>
  <c r="E13" i="9"/>
  <c r="F13" i="9"/>
  <c r="G13" i="9"/>
  <c r="H13" i="9"/>
  <c r="I13" i="9" s="1"/>
  <c r="J13" i="9"/>
  <c r="F17" i="9"/>
  <c r="G17" i="9" s="1"/>
  <c r="H17" i="9"/>
  <c r="M17" i="9"/>
  <c r="F18" i="9"/>
  <c r="H18" i="9" s="1"/>
  <c r="J18" i="9" s="1"/>
  <c r="G18" i="9"/>
  <c r="I18" i="9"/>
  <c r="E21" i="9"/>
  <c r="F21" i="9"/>
  <c r="G21" i="9"/>
  <c r="H21" i="9"/>
  <c r="I21" i="9" s="1"/>
  <c r="F25" i="9"/>
  <c r="M25" i="9"/>
  <c r="F26" i="9"/>
  <c r="G26" i="9"/>
  <c r="H26" i="9"/>
  <c r="I26" i="9"/>
  <c r="J26" i="9"/>
  <c r="E27" i="9"/>
  <c r="F27" i="9"/>
  <c r="G27" i="9" s="1"/>
  <c r="H27" i="9"/>
  <c r="M27" i="9"/>
  <c r="F28" i="9"/>
  <c r="E29" i="9"/>
  <c r="F29" i="9"/>
  <c r="G29" i="9"/>
  <c r="H29" i="9"/>
  <c r="I29" i="9" s="1"/>
  <c r="J29" i="9"/>
  <c r="F32" i="9"/>
  <c r="G32" i="9" s="1"/>
  <c r="M32" i="9"/>
  <c r="F33" i="9"/>
  <c r="G33" i="9"/>
  <c r="H33" i="9"/>
  <c r="I33" i="9"/>
  <c r="J33" i="9"/>
  <c r="E36" i="9"/>
  <c r="F36" i="9"/>
  <c r="G36" i="9"/>
  <c r="H36" i="9"/>
  <c r="I36" i="9" s="1"/>
  <c r="F37" i="9"/>
  <c r="M37" i="9"/>
  <c r="F40" i="9"/>
  <c r="G40" i="9"/>
  <c r="H40" i="9"/>
  <c r="I40" i="9"/>
  <c r="J40" i="9"/>
  <c r="E8" i="11"/>
  <c r="K8" i="11"/>
  <c r="L8" i="11"/>
  <c r="F10" i="11"/>
  <c r="G10" i="11"/>
  <c r="H10" i="11"/>
  <c r="I10" i="11" s="1"/>
  <c r="F11" i="11"/>
  <c r="F12" i="11"/>
  <c r="G12" i="11"/>
  <c r="H12" i="11"/>
  <c r="I12" i="11"/>
  <c r="J12" i="11"/>
  <c r="K12" i="11" s="1"/>
  <c r="E13" i="11"/>
  <c r="F13" i="11"/>
  <c r="G13" i="11" s="1"/>
  <c r="H13" i="11"/>
  <c r="F17" i="11"/>
  <c r="F18" i="11"/>
  <c r="G18" i="11"/>
  <c r="H18" i="11"/>
  <c r="I18" i="11" s="1"/>
  <c r="J18" i="11"/>
  <c r="K18" i="11" s="1"/>
  <c r="F21" i="11"/>
  <c r="G21" i="11" s="1"/>
  <c r="F25" i="11"/>
  <c r="G25" i="11"/>
  <c r="H25" i="11"/>
  <c r="I25" i="11"/>
  <c r="J25" i="11"/>
  <c r="K25" i="11" s="1"/>
  <c r="F26" i="11"/>
  <c r="G26" i="11"/>
  <c r="H26" i="11"/>
  <c r="I26" i="11" s="1"/>
  <c r="F27" i="11"/>
  <c r="F28" i="11"/>
  <c r="G28" i="11"/>
  <c r="H28" i="11"/>
  <c r="I28" i="11"/>
  <c r="J28" i="11"/>
  <c r="K28" i="11" s="1"/>
  <c r="F29" i="11"/>
  <c r="G29" i="11" s="1"/>
  <c r="H29" i="11"/>
  <c r="F32" i="11"/>
  <c r="F33" i="11"/>
  <c r="G33" i="11"/>
  <c r="H33" i="11"/>
  <c r="I33" i="11" s="1"/>
  <c r="J33" i="11"/>
  <c r="K33" i="11" s="1"/>
  <c r="F36" i="11"/>
  <c r="G36" i="11" s="1"/>
  <c r="F37" i="11"/>
  <c r="G37" i="11"/>
  <c r="H37" i="11"/>
  <c r="I37" i="11"/>
  <c r="J37" i="11"/>
  <c r="K37" i="11" s="1"/>
  <c r="F40" i="11"/>
  <c r="G40" i="11"/>
  <c r="H40" i="11"/>
  <c r="I40" i="11" s="1"/>
  <c r="E8" i="8"/>
  <c r="N8" i="8"/>
  <c r="O8" i="8"/>
  <c r="E10" i="8"/>
  <c r="F10" i="8"/>
  <c r="G10" i="8" s="1"/>
  <c r="N10" i="8"/>
  <c r="E11" i="8"/>
  <c r="F11" i="8"/>
  <c r="G11" i="8"/>
  <c r="H11" i="8"/>
  <c r="I11" i="8"/>
  <c r="J11" i="8"/>
  <c r="N11" i="8"/>
  <c r="E12" i="8"/>
  <c r="F12" i="8"/>
  <c r="G12" i="8"/>
  <c r="H12" i="8"/>
  <c r="I12" i="8" s="1"/>
  <c r="N12" i="8"/>
  <c r="E13" i="8"/>
  <c r="F13" i="8"/>
  <c r="N13" i="8"/>
  <c r="E17" i="8"/>
  <c r="F17" i="8"/>
  <c r="H17" i="8" s="1"/>
  <c r="G17" i="8"/>
  <c r="N17" i="8"/>
  <c r="E18" i="8"/>
  <c r="F18" i="8"/>
  <c r="G18" i="8" s="1"/>
  <c r="H18" i="8"/>
  <c r="N18" i="8"/>
  <c r="E21" i="8"/>
  <c r="F21" i="8"/>
  <c r="N21" i="8"/>
  <c r="E25" i="8"/>
  <c r="F25" i="8"/>
  <c r="G25" i="8"/>
  <c r="H25" i="8"/>
  <c r="I25" i="8" s="1"/>
  <c r="J25" i="8"/>
  <c r="N25" i="8"/>
  <c r="E26" i="8"/>
  <c r="F26" i="8"/>
  <c r="G26" i="8" s="1"/>
  <c r="N26" i="8"/>
  <c r="E27" i="8"/>
  <c r="F27" i="8"/>
  <c r="G27" i="8"/>
  <c r="H27" i="8"/>
  <c r="I27" i="8"/>
  <c r="J27" i="8"/>
  <c r="N27" i="8"/>
  <c r="E28" i="8"/>
  <c r="F28" i="8"/>
  <c r="G28" i="8"/>
  <c r="H28" i="8"/>
  <c r="I28" i="8" s="1"/>
  <c r="N28" i="8"/>
  <c r="E29" i="8"/>
  <c r="F29" i="8"/>
  <c r="N29" i="8"/>
  <c r="E32" i="8"/>
  <c r="F32" i="8"/>
  <c r="G32" i="8"/>
  <c r="H32" i="8"/>
  <c r="I32" i="8"/>
  <c r="J32" i="8"/>
  <c r="N32" i="8"/>
  <c r="E33" i="8"/>
  <c r="F33" i="8"/>
  <c r="G33" i="8" s="1"/>
  <c r="H33" i="8"/>
  <c r="N33" i="8"/>
  <c r="E36" i="8"/>
  <c r="F36" i="8"/>
  <c r="N36" i="8"/>
  <c r="E37" i="8"/>
  <c r="F37" i="8"/>
  <c r="G37" i="8"/>
  <c r="H37" i="8"/>
  <c r="I37" i="8" s="1"/>
  <c r="J37" i="8"/>
  <c r="N37" i="8"/>
  <c r="E40" i="8"/>
  <c r="F40" i="8"/>
  <c r="G40" i="8" s="1"/>
  <c r="N40" i="8"/>
  <c r="E8" i="5"/>
  <c r="R8" i="5"/>
  <c r="S8" i="5"/>
  <c r="Q8" i="5" s="1"/>
  <c r="E10" i="5"/>
  <c r="F10" i="5"/>
  <c r="G10" i="5" s="1"/>
  <c r="H10" i="5"/>
  <c r="Q10" i="5"/>
  <c r="E11" i="5"/>
  <c r="F11" i="5"/>
  <c r="G11" i="5" s="1"/>
  <c r="H11" i="5"/>
  <c r="Q11" i="5"/>
  <c r="E12" i="5"/>
  <c r="F12" i="5"/>
  <c r="G12" i="5" s="1"/>
  <c r="H12" i="5"/>
  <c r="Q12" i="5"/>
  <c r="E13" i="5"/>
  <c r="F13" i="5"/>
  <c r="G13" i="5" s="1"/>
  <c r="H13" i="5"/>
  <c r="Q13" i="5"/>
  <c r="E17" i="5"/>
  <c r="F17" i="5"/>
  <c r="G17" i="5" s="1"/>
  <c r="H17" i="5"/>
  <c r="Q17" i="5"/>
  <c r="E18" i="5"/>
  <c r="F18" i="5"/>
  <c r="G18" i="5" s="1"/>
  <c r="H18" i="5"/>
  <c r="Q18" i="5"/>
  <c r="E21" i="5"/>
  <c r="F21" i="5"/>
  <c r="G21" i="5" s="1"/>
  <c r="H21" i="5"/>
  <c r="Q21" i="5"/>
  <c r="E25" i="5"/>
  <c r="F25" i="5"/>
  <c r="G25" i="5" s="1"/>
  <c r="H25" i="5"/>
  <c r="Q25" i="5"/>
  <c r="E26" i="5"/>
  <c r="F26" i="5"/>
  <c r="G26" i="5" s="1"/>
  <c r="H26" i="5"/>
  <c r="Q26" i="5"/>
  <c r="E27" i="5"/>
  <c r="F27" i="5"/>
  <c r="G27" i="5" s="1"/>
  <c r="H27" i="5"/>
  <c r="Q27" i="5"/>
  <c r="E28" i="5"/>
  <c r="F28" i="5"/>
  <c r="G28" i="5" s="1"/>
  <c r="H28" i="5"/>
  <c r="Q28" i="5"/>
  <c r="E29" i="5"/>
  <c r="F29" i="5"/>
  <c r="G29" i="5" s="1"/>
  <c r="H29" i="5"/>
  <c r="Q29" i="5"/>
  <c r="E32" i="5"/>
  <c r="F32" i="5"/>
  <c r="G32" i="5" s="1"/>
  <c r="H32" i="5"/>
  <c r="Q32" i="5"/>
  <c r="E33" i="5"/>
  <c r="F33" i="5"/>
  <c r="G33" i="5" s="1"/>
  <c r="H33" i="5"/>
  <c r="Q33" i="5"/>
  <c r="E36" i="5"/>
  <c r="F36" i="5"/>
  <c r="G36" i="5" s="1"/>
  <c r="H36" i="5"/>
  <c r="E37" i="5"/>
  <c r="F37" i="5"/>
  <c r="G37" i="5" s="1"/>
  <c r="H37" i="5"/>
  <c r="E40" i="5"/>
  <c r="F40" i="5"/>
  <c r="G40" i="5" s="1"/>
  <c r="H40" i="5"/>
  <c r="Q40" i="5"/>
  <c r="E8" i="1"/>
  <c r="T8" i="1"/>
  <c r="T10" i="1" s="1"/>
  <c r="U8" i="1"/>
  <c r="F10" i="1"/>
  <c r="G10" i="1"/>
  <c r="H10" i="1"/>
  <c r="I10" i="1" s="1"/>
  <c r="J10" i="1"/>
  <c r="S10" i="1"/>
  <c r="E11" i="1"/>
  <c r="F11" i="1"/>
  <c r="G11" i="1"/>
  <c r="H11" i="1"/>
  <c r="I11" i="1" s="1"/>
  <c r="S11" i="1"/>
  <c r="F12" i="1"/>
  <c r="G12" i="1"/>
  <c r="H12" i="1"/>
  <c r="S12" i="1"/>
  <c r="F13" i="1"/>
  <c r="G13" i="1"/>
  <c r="H13" i="1"/>
  <c r="I13" i="1" s="1"/>
  <c r="J13" i="1"/>
  <c r="S13" i="1"/>
  <c r="F17" i="1"/>
  <c r="G17" i="1"/>
  <c r="H17" i="1"/>
  <c r="I17" i="1" s="1"/>
  <c r="J17" i="1"/>
  <c r="S17" i="1"/>
  <c r="F18" i="1"/>
  <c r="G18" i="1"/>
  <c r="H18" i="1"/>
  <c r="I18" i="1" s="1"/>
  <c r="S18" i="1"/>
  <c r="F21" i="1"/>
  <c r="G21" i="1"/>
  <c r="H21" i="1"/>
  <c r="S21" i="1"/>
  <c r="F25" i="1"/>
  <c r="G25" i="1"/>
  <c r="H25" i="1"/>
  <c r="I25" i="1" s="1"/>
  <c r="S25" i="1"/>
  <c r="F26" i="1"/>
  <c r="G26" i="1"/>
  <c r="H26" i="1"/>
  <c r="I26" i="1" s="1"/>
  <c r="J26" i="1"/>
  <c r="S26" i="1"/>
  <c r="F27" i="1"/>
  <c r="G27" i="1"/>
  <c r="H27" i="1"/>
  <c r="I27" i="1" s="1"/>
  <c r="S27" i="1"/>
  <c r="F28" i="1"/>
  <c r="G28" i="1"/>
  <c r="H28" i="1"/>
  <c r="S28" i="1"/>
  <c r="F29" i="1"/>
  <c r="G29" i="1"/>
  <c r="H29" i="1"/>
  <c r="I29" i="1" s="1"/>
  <c r="J29" i="1"/>
  <c r="S29" i="1"/>
  <c r="F32" i="1"/>
  <c r="G32" i="1"/>
  <c r="H32" i="1"/>
  <c r="I32" i="1" s="1"/>
  <c r="S32" i="1"/>
  <c r="E33" i="1"/>
  <c r="F33" i="1"/>
  <c r="G33" i="1"/>
  <c r="H33" i="1"/>
  <c r="I33" i="1" s="1"/>
  <c r="S33" i="1"/>
  <c r="F36" i="1"/>
  <c r="G36" i="1"/>
  <c r="H36" i="1"/>
  <c r="T36" i="1"/>
  <c r="F37" i="1"/>
  <c r="T37" i="1"/>
  <c r="F40" i="1"/>
  <c r="G40" i="1"/>
  <c r="H40" i="1"/>
  <c r="I40" i="1"/>
  <c r="J40" i="1"/>
  <c r="S40" i="1"/>
  <c r="T40" i="1"/>
  <c r="E8" i="2"/>
  <c r="E40" i="2" s="1"/>
  <c r="U8" i="2"/>
  <c r="T8" i="2" s="1"/>
  <c r="F10" i="2"/>
  <c r="H10" i="2" s="1"/>
  <c r="G10" i="2"/>
  <c r="S10" i="2"/>
  <c r="F11" i="2"/>
  <c r="H11" i="2" s="1"/>
  <c r="J11" i="2" s="1"/>
  <c r="G11" i="2"/>
  <c r="I11" i="2"/>
  <c r="S11" i="2"/>
  <c r="T11" i="2"/>
  <c r="F12" i="2"/>
  <c r="H12" i="2" s="1"/>
  <c r="J12" i="2" s="1"/>
  <c r="G12" i="2"/>
  <c r="I12" i="2"/>
  <c r="S12" i="2"/>
  <c r="F13" i="2"/>
  <c r="H13" i="2" s="1"/>
  <c r="J13" i="2" s="1"/>
  <c r="G13" i="2"/>
  <c r="S13" i="2"/>
  <c r="F17" i="2"/>
  <c r="H17" i="2" s="1"/>
  <c r="J17" i="2" s="1"/>
  <c r="G17" i="2"/>
  <c r="I17" i="2"/>
  <c r="S17" i="2"/>
  <c r="T17" i="2"/>
  <c r="F18" i="2"/>
  <c r="H18" i="2" s="1"/>
  <c r="G18" i="2"/>
  <c r="S18" i="2"/>
  <c r="F21" i="2"/>
  <c r="H21" i="2" s="1"/>
  <c r="J21" i="2" s="1"/>
  <c r="G21" i="2"/>
  <c r="I21" i="2"/>
  <c r="S21" i="2"/>
  <c r="F25" i="2"/>
  <c r="H25" i="2" s="1"/>
  <c r="J25" i="2" s="1"/>
  <c r="G25" i="2"/>
  <c r="S25" i="2"/>
  <c r="T25" i="2"/>
  <c r="F26" i="2"/>
  <c r="H26" i="2" s="1"/>
  <c r="G26" i="2"/>
  <c r="S26" i="2"/>
  <c r="F27" i="2"/>
  <c r="H27" i="2" s="1"/>
  <c r="J27" i="2" s="1"/>
  <c r="G27" i="2"/>
  <c r="I27" i="2"/>
  <c r="S27" i="2"/>
  <c r="T27" i="2"/>
  <c r="F28" i="2"/>
  <c r="H28" i="2" s="1"/>
  <c r="J28" i="2" s="1"/>
  <c r="G28" i="2"/>
  <c r="I28" i="2"/>
  <c r="S28" i="2"/>
  <c r="F29" i="2"/>
  <c r="H29" i="2" s="1"/>
  <c r="J29" i="2" s="1"/>
  <c r="G29" i="2"/>
  <c r="S29" i="2"/>
  <c r="F32" i="2"/>
  <c r="H32" i="2" s="1"/>
  <c r="J32" i="2" s="1"/>
  <c r="G32" i="2"/>
  <c r="I32" i="2"/>
  <c r="S32" i="2"/>
  <c r="T32" i="2"/>
  <c r="F33" i="2"/>
  <c r="H33" i="2" s="1"/>
  <c r="G33" i="2"/>
  <c r="S33" i="2"/>
  <c r="F36" i="2"/>
  <c r="H36" i="2" s="1"/>
  <c r="J36" i="2" s="1"/>
  <c r="G36" i="2"/>
  <c r="I36" i="2"/>
  <c r="E37" i="2"/>
  <c r="F37" i="2"/>
  <c r="G37" i="2"/>
  <c r="H37" i="2"/>
  <c r="I37" i="2" s="1"/>
  <c r="J37" i="2"/>
  <c r="F40" i="2"/>
  <c r="S40" i="2"/>
  <c r="E8" i="6"/>
  <c r="R8" i="6"/>
  <c r="Q8" i="6" s="1"/>
  <c r="P36" i="6" s="1"/>
  <c r="E10" i="6"/>
  <c r="F10" i="6"/>
  <c r="G10" i="6"/>
  <c r="H10" i="6"/>
  <c r="I10" i="6" s="1"/>
  <c r="J10" i="6"/>
  <c r="Q10" i="6"/>
  <c r="E11" i="6"/>
  <c r="F11" i="6"/>
  <c r="G11" i="6"/>
  <c r="H11" i="6"/>
  <c r="I11" i="6" s="1"/>
  <c r="J11" i="6"/>
  <c r="Q11" i="6"/>
  <c r="E12" i="6"/>
  <c r="F12" i="6"/>
  <c r="G12" i="6"/>
  <c r="H12" i="6"/>
  <c r="I12" i="6" s="1"/>
  <c r="Q12" i="6"/>
  <c r="E13" i="6"/>
  <c r="F13" i="6"/>
  <c r="G13" i="6"/>
  <c r="H13" i="6"/>
  <c r="Q13" i="6"/>
  <c r="E17" i="6"/>
  <c r="F17" i="6"/>
  <c r="G17" i="6"/>
  <c r="H17" i="6"/>
  <c r="I17" i="6" s="1"/>
  <c r="Q17" i="6"/>
  <c r="E18" i="6"/>
  <c r="F18" i="6"/>
  <c r="G18" i="6"/>
  <c r="H18" i="6"/>
  <c r="I18" i="6" s="1"/>
  <c r="J18" i="6"/>
  <c r="Q18" i="6"/>
  <c r="E21" i="6"/>
  <c r="F21" i="6"/>
  <c r="G21" i="6"/>
  <c r="H21" i="6"/>
  <c r="I21" i="6" s="1"/>
  <c r="Q21" i="6"/>
  <c r="E25" i="6"/>
  <c r="F25" i="6"/>
  <c r="G25" i="6"/>
  <c r="H25" i="6"/>
  <c r="Q25" i="6"/>
  <c r="E26" i="6"/>
  <c r="F26" i="6"/>
  <c r="G26" i="6"/>
  <c r="H26" i="6"/>
  <c r="I26" i="6" s="1"/>
  <c r="Q26" i="6"/>
  <c r="E27" i="6"/>
  <c r="F27" i="6"/>
  <c r="G27" i="6"/>
  <c r="H27" i="6"/>
  <c r="I27" i="6" s="1"/>
  <c r="Q27" i="6"/>
  <c r="E28" i="6"/>
  <c r="F28" i="6"/>
  <c r="G28" i="6"/>
  <c r="H28" i="6"/>
  <c r="I28" i="6" s="1"/>
  <c r="Q28" i="6"/>
  <c r="E29" i="6"/>
  <c r="F29" i="6"/>
  <c r="G29" i="6" s="1"/>
  <c r="H29" i="6"/>
  <c r="Q29" i="6"/>
  <c r="E32" i="6"/>
  <c r="F32" i="6"/>
  <c r="G32" i="6" s="1"/>
  <c r="H32" i="6"/>
  <c r="I32" i="6" s="1"/>
  <c r="J32" i="6"/>
  <c r="Q32" i="6"/>
  <c r="E33" i="6"/>
  <c r="F33" i="6"/>
  <c r="G33" i="6" s="1"/>
  <c r="Q33" i="6"/>
  <c r="E36" i="6"/>
  <c r="F36" i="6"/>
  <c r="Q36" i="6"/>
  <c r="E37" i="6"/>
  <c r="F37" i="6"/>
  <c r="G37" i="6" s="1"/>
  <c r="H37" i="6"/>
  <c r="P37" i="6"/>
  <c r="Q37" i="6"/>
  <c r="E40" i="6"/>
  <c r="F40" i="6"/>
  <c r="G40" i="6"/>
  <c r="H40" i="6"/>
  <c r="J40" i="6" s="1"/>
  <c r="Q40" i="6"/>
  <c r="E8" i="12"/>
  <c r="J8" i="12"/>
  <c r="J13" i="12" s="1"/>
  <c r="K8" i="12"/>
  <c r="I8" i="12" s="1"/>
  <c r="E10" i="12"/>
  <c r="F10" i="12"/>
  <c r="H10" i="12" s="1"/>
  <c r="G10" i="12"/>
  <c r="E11" i="12"/>
  <c r="F11" i="12"/>
  <c r="H11" i="12" s="1"/>
  <c r="E12" i="12"/>
  <c r="F12" i="12"/>
  <c r="G12" i="12"/>
  <c r="H12" i="12"/>
  <c r="I12" i="12"/>
  <c r="E13" i="12"/>
  <c r="F13" i="12"/>
  <c r="G13" i="12"/>
  <c r="H13" i="12"/>
  <c r="I13" i="12"/>
  <c r="E17" i="12"/>
  <c r="F17" i="12"/>
  <c r="H17" i="12" s="1"/>
  <c r="G17" i="12"/>
  <c r="E18" i="12"/>
  <c r="F18" i="12"/>
  <c r="H18" i="12" s="1"/>
  <c r="G18" i="12"/>
  <c r="E21" i="12"/>
  <c r="F21" i="12"/>
  <c r="G21" i="12"/>
  <c r="H21" i="12"/>
  <c r="J21" i="12" s="1"/>
  <c r="E25" i="12"/>
  <c r="F25" i="12"/>
  <c r="G25" i="12"/>
  <c r="H25" i="12"/>
  <c r="I25" i="12"/>
  <c r="E26" i="12"/>
  <c r="F26" i="12"/>
  <c r="H26" i="12" s="1"/>
  <c r="G26" i="12"/>
  <c r="E27" i="12"/>
  <c r="F27" i="12"/>
  <c r="H27" i="12" s="1"/>
  <c r="E28" i="12"/>
  <c r="F28" i="12"/>
  <c r="G28" i="12"/>
  <c r="H28" i="12"/>
  <c r="J28" i="12" s="1"/>
  <c r="I28" i="12"/>
  <c r="E29" i="12"/>
  <c r="F29" i="12"/>
  <c r="G29" i="12"/>
  <c r="H29" i="12"/>
  <c r="I29" i="12"/>
  <c r="J29" i="12"/>
  <c r="E32" i="12"/>
  <c r="F32" i="12"/>
  <c r="H32" i="12" s="1"/>
  <c r="G32" i="12"/>
  <c r="E33" i="12"/>
  <c r="F33" i="12"/>
  <c r="H33" i="12" s="1"/>
  <c r="G33" i="12"/>
  <c r="E36" i="12"/>
  <c r="F36" i="12"/>
  <c r="G36" i="12"/>
  <c r="H36" i="12"/>
  <c r="J36" i="12" s="1"/>
  <c r="E37" i="12"/>
  <c r="F37" i="12"/>
  <c r="G37" i="12"/>
  <c r="H37" i="12"/>
  <c r="I37" i="12"/>
  <c r="J37" i="12"/>
  <c r="E8" i="10"/>
  <c r="M8" i="10"/>
  <c r="L8" i="10" s="1"/>
  <c r="F10" i="10"/>
  <c r="G10" i="10" s="1"/>
  <c r="H10" i="10"/>
  <c r="I10" i="10"/>
  <c r="J10" i="10"/>
  <c r="F11" i="10"/>
  <c r="G11" i="10"/>
  <c r="H11" i="10"/>
  <c r="I11" i="10"/>
  <c r="J11" i="10"/>
  <c r="L11" i="10"/>
  <c r="F12" i="10"/>
  <c r="G12" i="10" s="1"/>
  <c r="H12" i="10"/>
  <c r="I12" i="10" s="1"/>
  <c r="J12" i="10"/>
  <c r="L12" i="10"/>
  <c r="E13" i="10"/>
  <c r="F13" i="10"/>
  <c r="H13" i="10" s="1"/>
  <c r="G13" i="10"/>
  <c r="L13" i="10"/>
  <c r="F17" i="10"/>
  <c r="F18" i="10"/>
  <c r="H18" i="10" s="1"/>
  <c r="G18" i="10"/>
  <c r="F21" i="10"/>
  <c r="G21" i="10"/>
  <c r="H21" i="10"/>
  <c r="F25" i="10"/>
  <c r="G25" i="10"/>
  <c r="H25" i="10"/>
  <c r="J25" i="10" s="1"/>
  <c r="F26" i="10"/>
  <c r="G26" i="10" s="1"/>
  <c r="H26" i="10"/>
  <c r="I26" i="10"/>
  <c r="J26" i="10"/>
  <c r="F27" i="10"/>
  <c r="G27" i="10"/>
  <c r="H27" i="10"/>
  <c r="I27" i="10"/>
  <c r="J27" i="10"/>
  <c r="L27" i="10"/>
  <c r="F28" i="10"/>
  <c r="G28" i="10" s="1"/>
  <c r="H28" i="10"/>
  <c r="I28" i="10" s="1"/>
  <c r="J28" i="10"/>
  <c r="L28" i="10"/>
  <c r="F29" i="10"/>
  <c r="H29" i="10" s="1"/>
  <c r="G29" i="10"/>
  <c r="L29" i="10"/>
  <c r="F32" i="10"/>
  <c r="F33" i="10"/>
  <c r="H33" i="10" s="1"/>
  <c r="G33" i="10"/>
  <c r="F36" i="10"/>
  <c r="H36" i="10" s="1"/>
  <c r="G36" i="10"/>
  <c r="F37" i="10"/>
  <c r="G37" i="10"/>
  <c r="H37" i="10"/>
  <c r="J37" i="10" s="1"/>
  <c r="I37" i="10"/>
  <c r="F40" i="10"/>
  <c r="G40" i="10" s="1"/>
  <c r="H40" i="10"/>
  <c r="J40" i="10" s="1"/>
  <c r="I40" i="10"/>
  <c r="E8" i="4"/>
  <c r="S8" i="4"/>
  <c r="S10" i="4" s="1"/>
  <c r="T8" i="4"/>
  <c r="R8" i="4" s="1"/>
  <c r="E10" i="4"/>
  <c r="F10" i="4"/>
  <c r="H10" i="4" s="1"/>
  <c r="E11" i="4"/>
  <c r="F11" i="4"/>
  <c r="H11" i="4" s="1"/>
  <c r="G11" i="4"/>
  <c r="S11" i="4"/>
  <c r="E12" i="4"/>
  <c r="F12" i="4"/>
  <c r="H12" i="4" s="1"/>
  <c r="G12" i="4"/>
  <c r="S12" i="4"/>
  <c r="E13" i="4"/>
  <c r="F13" i="4"/>
  <c r="H13" i="4" s="1"/>
  <c r="G13" i="4"/>
  <c r="S13" i="4"/>
  <c r="E17" i="4"/>
  <c r="F17" i="4"/>
  <c r="H17" i="4" s="1"/>
  <c r="G17" i="4"/>
  <c r="S17" i="4"/>
  <c r="E18" i="4"/>
  <c r="F18" i="4"/>
  <c r="H18" i="4" s="1"/>
  <c r="G18" i="4"/>
  <c r="S18" i="4"/>
  <c r="E21" i="4"/>
  <c r="F21" i="4"/>
  <c r="H21" i="4" s="1"/>
  <c r="G21" i="4"/>
  <c r="S21" i="4"/>
  <c r="E25" i="4"/>
  <c r="F25" i="4"/>
  <c r="H25" i="4" s="1"/>
  <c r="G25" i="4"/>
  <c r="S25" i="4"/>
  <c r="E26" i="4"/>
  <c r="F26" i="4"/>
  <c r="H26" i="4" s="1"/>
  <c r="G26" i="4"/>
  <c r="S26" i="4"/>
  <c r="E27" i="4"/>
  <c r="F27" i="4"/>
  <c r="H27" i="4" s="1"/>
  <c r="G27" i="4"/>
  <c r="S27" i="4"/>
  <c r="E28" i="4"/>
  <c r="F28" i="4"/>
  <c r="H28" i="4" s="1"/>
  <c r="G28" i="4"/>
  <c r="S28" i="4"/>
  <c r="E29" i="4"/>
  <c r="F29" i="4"/>
  <c r="H29" i="4" s="1"/>
  <c r="G29" i="4"/>
  <c r="S29" i="4"/>
  <c r="E32" i="4"/>
  <c r="F32" i="4"/>
  <c r="H32" i="4" s="1"/>
  <c r="G32" i="4"/>
  <c r="S32" i="4"/>
  <c r="E33" i="4"/>
  <c r="F33" i="4"/>
  <c r="H33" i="4" s="1"/>
  <c r="G33" i="4"/>
  <c r="S33" i="4"/>
  <c r="E36" i="4"/>
  <c r="F36" i="4"/>
  <c r="H36" i="4" s="1"/>
  <c r="G36" i="4"/>
  <c r="R36" i="4"/>
  <c r="S36" i="4"/>
  <c r="E37" i="4"/>
  <c r="F37" i="4"/>
  <c r="H37" i="4" s="1"/>
  <c r="R37" i="4"/>
  <c r="S37" i="4"/>
  <c r="E40" i="4"/>
  <c r="F40" i="4"/>
  <c r="H40" i="4" s="1"/>
  <c r="G40" i="4"/>
  <c r="S40" i="4"/>
  <c r="E8" i="7"/>
  <c r="O8" i="7"/>
  <c r="P8" i="7"/>
  <c r="Q8" i="7"/>
  <c r="F10" i="7"/>
  <c r="G10" i="7"/>
  <c r="H10" i="7"/>
  <c r="I10" i="7"/>
  <c r="J10" i="7"/>
  <c r="O10" i="7"/>
  <c r="F11" i="7"/>
  <c r="G11" i="7"/>
  <c r="H11" i="7"/>
  <c r="I11" i="7"/>
  <c r="J11" i="7"/>
  <c r="O11" i="7"/>
  <c r="F12" i="7"/>
  <c r="G12" i="7"/>
  <c r="H12" i="7"/>
  <c r="I12" i="7"/>
  <c r="J12" i="7"/>
  <c r="O12" i="7"/>
  <c r="F13" i="7"/>
  <c r="G13" i="7"/>
  <c r="H13" i="7"/>
  <c r="I13" i="7"/>
  <c r="J13" i="7"/>
  <c r="O13" i="7"/>
  <c r="F17" i="7"/>
  <c r="G17" i="7"/>
  <c r="H17" i="7"/>
  <c r="I17" i="7"/>
  <c r="J17" i="7"/>
  <c r="O17" i="7"/>
  <c r="F18" i="7"/>
  <c r="G18" i="7"/>
  <c r="H18" i="7"/>
  <c r="I18" i="7"/>
  <c r="J18" i="7"/>
  <c r="O18" i="7"/>
  <c r="F21" i="7"/>
  <c r="G21" i="7"/>
  <c r="H21" i="7"/>
  <c r="I21" i="7"/>
  <c r="J21" i="7"/>
  <c r="O21" i="7"/>
  <c r="F25" i="7"/>
  <c r="G25" i="7"/>
  <c r="H25" i="7"/>
  <c r="I25" i="7"/>
  <c r="J25" i="7"/>
  <c r="O25" i="7"/>
  <c r="F26" i="7"/>
  <c r="G26" i="7"/>
  <c r="H26" i="7"/>
  <c r="I26" i="7"/>
  <c r="J26" i="7"/>
  <c r="O26" i="7"/>
  <c r="F27" i="7"/>
  <c r="G27" i="7"/>
  <c r="H27" i="7"/>
  <c r="I27" i="7"/>
  <c r="J27" i="7"/>
  <c r="O27" i="7"/>
  <c r="F28" i="7"/>
  <c r="G28" i="7"/>
  <c r="H28" i="7"/>
  <c r="I28" i="7"/>
  <c r="J28" i="7"/>
  <c r="O28" i="7"/>
  <c r="F29" i="7"/>
  <c r="G29" i="7"/>
  <c r="H29" i="7"/>
  <c r="I29" i="7"/>
  <c r="J29" i="7"/>
  <c r="O29" i="7"/>
  <c r="F32" i="7"/>
  <c r="G32" i="7" s="1"/>
  <c r="O32" i="7"/>
  <c r="F33" i="7"/>
  <c r="O33" i="7"/>
  <c r="F36" i="7"/>
  <c r="G36" i="7" s="1"/>
  <c r="H36" i="7"/>
  <c r="I36" i="7" s="1"/>
  <c r="O36" i="7"/>
  <c r="F37" i="7"/>
  <c r="G37" i="7"/>
  <c r="H37" i="7"/>
  <c r="I37" i="7" s="1"/>
  <c r="J37" i="7"/>
  <c r="O37" i="7"/>
  <c r="F40" i="7"/>
  <c r="G40" i="7" s="1"/>
  <c r="O40" i="7"/>
  <c r="E8" i="3"/>
  <c r="S8" i="3"/>
  <c r="T8" i="3"/>
  <c r="T10" i="3" s="1"/>
  <c r="U8" i="3"/>
  <c r="E10" i="3"/>
  <c r="F10" i="3"/>
  <c r="H10" i="3" s="1"/>
  <c r="I10" i="3" s="1"/>
  <c r="G10" i="3"/>
  <c r="J10" i="3"/>
  <c r="S10" i="3"/>
  <c r="E11" i="3"/>
  <c r="F11" i="3"/>
  <c r="G11" i="3" s="1"/>
  <c r="H11" i="3"/>
  <c r="I11" i="3" s="1"/>
  <c r="J11" i="3"/>
  <c r="S11" i="3"/>
  <c r="T11" i="3"/>
  <c r="E12" i="3"/>
  <c r="F12" i="3"/>
  <c r="G12" i="3" s="1"/>
  <c r="S12" i="3"/>
  <c r="T12" i="3"/>
  <c r="E13" i="3"/>
  <c r="F13" i="3"/>
  <c r="G13" i="3" s="1"/>
  <c r="S13" i="3"/>
  <c r="T13" i="3"/>
  <c r="E17" i="3"/>
  <c r="F17" i="3"/>
  <c r="G17" i="3" s="1"/>
  <c r="S17" i="3"/>
  <c r="T17" i="3"/>
  <c r="E18" i="3"/>
  <c r="F18" i="3"/>
  <c r="G18" i="3" s="1"/>
  <c r="S18" i="3"/>
  <c r="T18" i="3"/>
  <c r="E21" i="3"/>
  <c r="F21" i="3"/>
  <c r="G21" i="3" s="1"/>
  <c r="S21" i="3"/>
  <c r="T21" i="3"/>
  <c r="E25" i="3"/>
  <c r="F25" i="3"/>
  <c r="G25" i="3" s="1"/>
  <c r="S25" i="3"/>
  <c r="T25" i="3"/>
  <c r="E26" i="3"/>
  <c r="F26" i="3"/>
  <c r="G26" i="3" s="1"/>
  <c r="S26" i="3"/>
  <c r="T26" i="3"/>
  <c r="E27" i="3"/>
  <c r="F27" i="3"/>
  <c r="G27" i="3" s="1"/>
  <c r="S27" i="3"/>
  <c r="T27" i="3"/>
  <c r="E28" i="3"/>
  <c r="F28" i="3"/>
  <c r="G28" i="3" s="1"/>
  <c r="S28" i="3"/>
  <c r="T28" i="3"/>
  <c r="E29" i="3"/>
  <c r="F29" i="3"/>
  <c r="G29" i="3" s="1"/>
  <c r="S29" i="3"/>
  <c r="T29" i="3"/>
  <c r="E32" i="3"/>
  <c r="F32" i="3"/>
  <c r="G32" i="3" s="1"/>
  <c r="S32" i="3"/>
  <c r="T32" i="3"/>
  <c r="E33" i="3"/>
  <c r="F33" i="3"/>
  <c r="G33" i="3" s="1"/>
  <c r="S33" i="3"/>
  <c r="T33" i="3"/>
  <c r="E36" i="3"/>
  <c r="F36" i="3"/>
  <c r="G36" i="3" s="1"/>
  <c r="S36" i="3"/>
  <c r="T36" i="3"/>
  <c r="E37" i="3"/>
  <c r="F37" i="3"/>
  <c r="G37" i="3" s="1"/>
  <c r="S37" i="3"/>
  <c r="T37" i="3"/>
  <c r="E40" i="3"/>
  <c r="F40" i="3"/>
  <c r="G40" i="3" s="1"/>
  <c r="S40" i="3"/>
  <c r="T40" i="3"/>
  <c r="X37" i="16" l="1"/>
  <c r="X25" i="16"/>
  <c r="X18" i="16"/>
  <c r="X12" i="16"/>
  <c r="X27" i="16"/>
  <c r="X40" i="16"/>
  <c r="X36" i="16"/>
  <c r="X21" i="16"/>
  <c r="X33" i="16"/>
  <c r="X28" i="16"/>
  <c r="X11" i="16"/>
  <c r="X26" i="16"/>
  <c r="X32" i="16"/>
  <c r="X17" i="16"/>
  <c r="X29" i="16"/>
  <c r="X13" i="16"/>
  <c r="X10" i="16"/>
  <c r="I37" i="16"/>
  <c r="I29" i="16"/>
  <c r="I25" i="16"/>
  <c r="I13" i="16"/>
  <c r="J17" i="16"/>
  <c r="I17" i="16"/>
  <c r="J32" i="16"/>
  <c r="I32" i="16"/>
  <c r="E13" i="15"/>
  <c r="E25" i="15"/>
  <c r="E29" i="15"/>
  <c r="E40" i="15"/>
  <c r="E26" i="15"/>
  <c r="E32" i="15"/>
  <c r="G40" i="15"/>
  <c r="E11" i="15"/>
  <c r="E18" i="15"/>
  <c r="E27" i="15"/>
  <c r="E33" i="15"/>
  <c r="J10" i="15"/>
  <c r="I10" i="15"/>
  <c r="J26" i="15"/>
  <c r="I26" i="15"/>
  <c r="J13" i="15"/>
  <c r="I13" i="15"/>
  <c r="J29" i="15"/>
  <c r="I29" i="15"/>
  <c r="J11" i="15"/>
  <c r="I11" i="15"/>
  <c r="J27" i="15"/>
  <c r="I27" i="15"/>
  <c r="J37" i="15"/>
  <c r="I37" i="15"/>
  <c r="J21" i="15"/>
  <c r="I21" i="15"/>
  <c r="J36" i="15"/>
  <c r="I36" i="15"/>
  <c r="J17" i="15"/>
  <c r="I17" i="15"/>
  <c r="J32" i="15"/>
  <c r="I32" i="15"/>
  <c r="J25" i="15"/>
  <c r="I25" i="15"/>
  <c r="J40" i="15"/>
  <c r="I40" i="15"/>
  <c r="J12" i="15"/>
  <c r="I12" i="15"/>
  <c r="J28" i="15"/>
  <c r="I28" i="15"/>
  <c r="J18" i="15"/>
  <c r="I18" i="15"/>
  <c r="J33" i="15"/>
  <c r="I33" i="15"/>
  <c r="G37" i="15"/>
  <c r="G10" i="15"/>
  <c r="G11" i="15"/>
  <c r="G12" i="15"/>
  <c r="G13" i="15"/>
  <c r="G17" i="15"/>
  <c r="G18" i="15"/>
  <c r="G21" i="15"/>
  <c r="G25" i="15"/>
  <c r="G26" i="15"/>
  <c r="G27" i="15"/>
  <c r="G28" i="15"/>
  <c r="G29" i="15"/>
  <c r="G32" i="15"/>
  <c r="G33" i="15"/>
  <c r="G36" i="15"/>
  <c r="I36" i="10"/>
  <c r="J36" i="10"/>
  <c r="E12" i="10"/>
  <c r="E28" i="10"/>
  <c r="E11" i="10"/>
  <c r="E27" i="10"/>
  <c r="E10" i="10"/>
  <c r="E26" i="10"/>
  <c r="E40" i="10"/>
  <c r="E25" i="10"/>
  <c r="E37" i="10"/>
  <c r="E21" i="10"/>
  <c r="E36" i="10"/>
  <c r="I29" i="6"/>
  <c r="J29" i="6"/>
  <c r="E40" i="1"/>
  <c r="E37" i="1"/>
  <c r="E10" i="1"/>
  <c r="E17" i="1"/>
  <c r="E26" i="1"/>
  <c r="E32" i="1"/>
  <c r="E13" i="1"/>
  <c r="E25" i="1"/>
  <c r="E29" i="1"/>
  <c r="E12" i="1"/>
  <c r="E21" i="1"/>
  <c r="E28" i="1"/>
  <c r="E36" i="1"/>
  <c r="G11" i="11"/>
  <c r="H11" i="11"/>
  <c r="I40" i="4"/>
  <c r="J40" i="4"/>
  <c r="G10" i="4"/>
  <c r="I29" i="10"/>
  <c r="J29" i="10"/>
  <c r="I25" i="10"/>
  <c r="I18" i="10"/>
  <c r="J18" i="10"/>
  <c r="I26" i="12"/>
  <c r="J26" i="12"/>
  <c r="I21" i="12"/>
  <c r="I40" i="6"/>
  <c r="I36" i="1"/>
  <c r="J36" i="1"/>
  <c r="J25" i="1"/>
  <c r="I12" i="1"/>
  <c r="J12" i="1"/>
  <c r="J28" i="8"/>
  <c r="I27" i="9"/>
  <c r="J27" i="9"/>
  <c r="I32" i="12"/>
  <c r="J32" i="12"/>
  <c r="I36" i="4"/>
  <c r="J36" i="4"/>
  <c r="I32" i="4"/>
  <c r="J32" i="4"/>
  <c r="I28" i="4"/>
  <c r="J28" i="4"/>
  <c r="I26" i="4"/>
  <c r="J26" i="4"/>
  <c r="I21" i="4"/>
  <c r="J21" i="4"/>
  <c r="I17" i="4"/>
  <c r="J17" i="4"/>
  <c r="I12" i="4"/>
  <c r="J12" i="4"/>
  <c r="I33" i="10"/>
  <c r="J33" i="10"/>
  <c r="G17" i="10"/>
  <c r="H17" i="10"/>
  <c r="J25" i="12"/>
  <c r="J12" i="12"/>
  <c r="I10" i="12"/>
  <c r="J10" i="12"/>
  <c r="I13" i="6"/>
  <c r="J13" i="6"/>
  <c r="I28" i="1"/>
  <c r="J28" i="1"/>
  <c r="I33" i="8"/>
  <c r="J33" i="8"/>
  <c r="G25" i="9"/>
  <c r="H25" i="9"/>
  <c r="G25" i="13"/>
  <c r="H25" i="13"/>
  <c r="G11" i="13"/>
  <c r="H11" i="13"/>
  <c r="I37" i="6"/>
  <c r="J37" i="6"/>
  <c r="E29" i="10"/>
  <c r="E18" i="10"/>
  <c r="E27" i="1"/>
  <c r="H40" i="3"/>
  <c r="H37" i="3"/>
  <c r="H36" i="3"/>
  <c r="H33" i="3"/>
  <c r="H32" i="3"/>
  <c r="H29" i="3"/>
  <c r="H28" i="3"/>
  <c r="H27" i="3"/>
  <c r="H26" i="3"/>
  <c r="H25" i="3"/>
  <c r="H21" i="3"/>
  <c r="H18" i="3"/>
  <c r="H17" i="3"/>
  <c r="H13" i="3"/>
  <c r="H12" i="3"/>
  <c r="H40" i="7"/>
  <c r="P10" i="7"/>
  <c r="P11" i="7"/>
  <c r="P12" i="7"/>
  <c r="P13" i="7"/>
  <c r="P17" i="7"/>
  <c r="P18" i="7"/>
  <c r="P21" i="7"/>
  <c r="P25" i="7"/>
  <c r="P26" i="7"/>
  <c r="P27" i="7"/>
  <c r="P28" i="7"/>
  <c r="P29" i="7"/>
  <c r="P32" i="7"/>
  <c r="P33" i="7"/>
  <c r="P36" i="7"/>
  <c r="P37" i="7"/>
  <c r="P40" i="7"/>
  <c r="R10" i="4"/>
  <c r="R11" i="4"/>
  <c r="R12" i="4"/>
  <c r="R13" i="4"/>
  <c r="R17" i="4"/>
  <c r="R18" i="4"/>
  <c r="R21" i="4"/>
  <c r="R25" i="4"/>
  <c r="R26" i="4"/>
  <c r="R27" i="4"/>
  <c r="R28" i="4"/>
  <c r="R29" i="4"/>
  <c r="R32" i="4"/>
  <c r="R33" i="4"/>
  <c r="R40" i="4"/>
  <c r="E33" i="10"/>
  <c r="E17" i="10"/>
  <c r="J26" i="2"/>
  <c r="I26" i="2"/>
  <c r="J10" i="2"/>
  <c r="I10" i="2"/>
  <c r="I33" i="5"/>
  <c r="J33" i="5"/>
  <c r="I29" i="5"/>
  <c r="J29" i="5"/>
  <c r="I27" i="5"/>
  <c r="J27" i="5"/>
  <c r="I25" i="5"/>
  <c r="J25" i="5"/>
  <c r="I18" i="5"/>
  <c r="J18" i="5"/>
  <c r="I13" i="5"/>
  <c r="J13" i="5"/>
  <c r="I11" i="5"/>
  <c r="J11" i="5"/>
  <c r="R10" i="5"/>
  <c r="R11" i="5"/>
  <c r="R12" i="5"/>
  <c r="R13" i="5"/>
  <c r="R17" i="5"/>
  <c r="R18" i="5"/>
  <c r="R21" i="5"/>
  <c r="R25" i="5"/>
  <c r="R26" i="5"/>
  <c r="R27" i="5"/>
  <c r="R28" i="5"/>
  <c r="R29" i="5"/>
  <c r="R32" i="5"/>
  <c r="R33" i="5"/>
  <c r="R36" i="5"/>
  <c r="R37" i="5"/>
  <c r="R40" i="5"/>
  <c r="Q37" i="5"/>
  <c r="Q36" i="5"/>
  <c r="I11" i="12"/>
  <c r="J11" i="12"/>
  <c r="I10" i="4"/>
  <c r="J10" i="4"/>
  <c r="G12" i="13"/>
  <c r="G28" i="13"/>
  <c r="G10" i="13"/>
  <c r="G26" i="13"/>
  <c r="G21" i="13"/>
  <c r="G36" i="13"/>
  <c r="G37" i="4"/>
  <c r="G32" i="10"/>
  <c r="H32" i="10"/>
  <c r="I21" i="10"/>
  <c r="J21" i="10"/>
  <c r="I33" i="12"/>
  <c r="J33" i="12"/>
  <c r="G27" i="12"/>
  <c r="G36" i="6"/>
  <c r="H36" i="6"/>
  <c r="I25" i="6"/>
  <c r="J25" i="6"/>
  <c r="J17" i="6"/>
  <c r="T37" i="2"/>
  <c r="T40" i="2"/>
  <c r="T36" i="2"/>
  <c r="T21" i="2"/>
  <c r="T13" i="2"/>
  <c r="T29" i="2"/>
  <c r="T10" i="2"/>
  <c r="T26" i="2"/>
  <c r="T18" i="2"/>
  <c r="T33" i="2"/>
  <c r="T12" i="2"/>
  <c r="T28" i="2"/>
  <c r="E18" i="1"/>
  <c r="I37" i="5"/>
  <c r="J37" i="5"/>
  <c r="J12" i="8"/>
  <c r="I29" i="11"/>
  <c r="J29" i="11"/>
  <c r="K29" i="11" s="1"/>
  <c r="J36" i="7"/>
  <c r="G33" i="7"/>
  <c r="H33" i="7"/>
  <c r="E10" i="7"/>
  <c r="E11" i="7"/>
  <c r="E12" i="7"/>
  <c r="E13" i="7"/>
  <c r="E17" i="7"/>
  <c r="E18" i="7"/>
  <c r="E21" i="7"/>
  <c r="E25" i="7"/>
  <c r="E26" i="7"/>
  <c r="E27" i="7"/>
  <c r="E28" i="7"/>
  <c r="E29" i="7"/>
  <c r="E32" i="7"/>
  <c r="E33" i="7"/>
  <c r="E36" i="7"/>
  <c r="E37" i="7"/>
  <c r="E40" i="7"/>
  <c r="I37" i="4"/>
  <c r="J37" i="4"/>
  <c r="E32" i="10"/>
  <c r="I27" i="12"/>
  <c r="J27" i="12"/>
  <c r="I29" i="2"/>
  <c r="I13" i="2"/>
  <c r="I21" i="1"/>
  <c r="J21" i="1"/>
  <c r="I13" i="11"/>
  <c r="J13" i="11"/>
  <c r="K13" i="11" s="1"/>
  <c r="E17" i="11"/>
  <c r="E32" i="11"/>
  <c r="E12" i="11"/>
  <c r="E28" i="11"/>
  <c r="E11" i="11"/>
  <c r="E27" i="11"/>
  <c r="E25" i="11"/>
  <c r="E37" i="11"/>
  <c r="E21" i="11"/>
  <c r="E36" i="11"/>
  <c r="E10" i="11"/>
  <c r="E26" i="11"/>
  <c r="E40" i="11"/>
  <c r="E18" i="11"/>
  <c r="E33" i="11"/>
  <c r="G37" i="9"/>
  <c r="H37" i="9"/>
  <c r="G37" i="13"/>
  <c r="H37" i="13"/>
  <c r="G32" i="13"/>
  <c r="G27" i="13"/>
  <c r="H27" i="13"/>
  <c r="I17" i="12"/>
  <c r="J17" i="12"/>
  <c r="I33" i="4"/>
  <c r="J33" i="4"/>
  <c r="I29" i="4"/>
  <c r="J29" i="4"/>
  <c r="I27" i="4"/>
  <c r="J27" i="4"/>
  <c r="I25" i="4"/>
  <c r="J25" i="4"/>
  <c r="I18" i="4"/>
  <c r="J18" i="4"/>
  <c r="I13" i="4"/>
  <c r="J13" i="4"/>
  <c r="I11" i="4"/>
  <c r="J11" i="4"/>
  <c r="I13" i="10"/>
  <c r="J13" i="10"/>
  <c r="L10" i="10"/>
  <c r="L26" i="10"/>
  <c r="L40" i="10"/>
  <c r="L25" i="10"/>
  <c r="L37" i="10"/>
  <c r="L21" i="10"/>
  <c r="L36" i="10"/>
  <c r="L18" i="10"/>
  <c r="L33" i="10"/>
  <c r="L17" i="10"/>
  <c r="L32" i="10"/>
  <c r="I36" i="12"/>
  <c r="I18" i="12"/>
  <c r="J18" i="12"/>
  <c r="G11" i="12"/>
  <c r="J26" i="6"/>
  <c r="J33" i="2"/>
  <c r="I33" i="2"/>
  <c r="J18" i="2"/>
  <c r="I18" i="2"/>
  <c r="G21" i="8"/>
  <c r="H21" i="8"/>
  <c r="I17" i="8"/>
  <c r="J17" i="8"/>
  <c r="E29" i="11"/>
  <c r="G27" i="11"/>
  <c r="H27" i="11"/>
  <c r="H32" i="7"/>
  <c r="J27" i="6"/>
  <c r="G40" i="2"/>
  <c r="H40" i="2"/>
  <c r="J32" i="1"/>
  <c r="H40" i="8"/>
  <c r="I18" i="8"/>
  <c r="J18" i="8"/>
  <c r="J40" i="11"/>
  <c r="K40" i="11" s="1"/>
  <c r="J26" i="11"/>
  <c r="K26" i="11" s="1"/>
  <c r="J10" i="11"/>
  <c r="K10" i="11" s="1"/>
  <c r="J36" i="9"/>
  <c r="J21" i="9"/>
  <c r="H33" i="6"/>
  <c r="I25" i="2"/>
  <c r="I40" i="5"/>
  <c r="J40" i="5"/>
  <c r="I36" i="5"/>
  <c r="J36" i="5"/>
  <c r="I32" i="5"/>
  <c r="J32" i="5"/>
  <c r="I28" i="5"/>
  <c r="J28" i="5"/>
  <c r="I26" i="5"/>
  <c r="J26" i="5"/>
  <c r="I21" i="5"/>
  <c r="J21" i="5"/>
  <c r="I17" i="5"/>
  <c r="J17" i="5"/>
  <c r="I12" i="5"/>
  <c r="J12" i="5"/>
  <c r="I10" i="5"/>
  <c r="J10" i="5"/>
  <c r="I17" i="9"/>
  <c r="J17" i="9"/>
  <c r="G12" i="9"/>
  <c r="H12" i="9"/>
  <c r="G29" i="13"/>
  <c r="H29" i="13"/>
  <c r="G13" i="13"/>
  <c r="H13" i="13"/>
  <c r="J28" i="6"/>
  <c r="J21" i="6"/>
  <c r="J12" i="6"/>
  <c r="G37" i="1"/>
  <c r="H37" i="1"/>
  <c r="J33" i="1"/>
  <c r="J27" i="1"/>
  <c r="J18" i="1"/>
  <c r="J11" i="1"/>
  <c r="G29" i="8"/>
  <c r="H29" i="8"/>
  <c r="H26" i="8"/>
  <c r="G13" i="8"/>
  <c r="H13" i="8"/>
  <c r="H10" i="8"/>
  <c r="G36" i="8"/>
  <c r="H36" i="8"/>
  <c r="H36" i="11"/>
  <c r="G32" i="11"/>
  <c r="H32" i="11"/>
  <c r="H21" i="11"/>
  <c r="G17" i="11"/>
  <c r="H17" i="11"/>
  <c r="H32" i="9"/>
  <c r="G28" i="9"/>
  <c r="H28" i="9"/>
  <c r="I11" i="9"/>
  <c r="J11" i="9"/>
  <c r="M8" i="9"/>
  <c r="M10" i="9"/>
  <c r="M26" i="9"/>
  <c r="M40" i="9"/>
  <c r="M21" i="9"/>
  <c r="M36" i="9"/>
  <c r="M18" i="9"/>
  <c r="M33" i="9"/>
  <c r="M13" i="9"/>
  <c r="M29" i="9"/>
  <c r="M12" i="9"/>
  <c r="M28" i="9"/>
  <c r="G33" i="13"/>
  <c r="H33" i="13"/>
  <c r="G18" i="13"/>
  <c r="H18" i="13"/>
  <c r="P8" i="6"/>
  <c r="E12" i="9"/>
  <c r="E28" i="9"/>
  <c r="E10" i="9"/>
  <c r="E26" i="9"/>
  <c r="E40" i="9"/>
  <c r="E25" i="9"/>
  <c r="E37" i="9"/>
  <c r="E18" i="9"/>
  <c r="E33" i="9"/>
  <c r="E17" i="9"/>
  <c r="E32" i="9"/>
  <c r="E36" i="2"/>
  <c r="E33" i="2"/>
  <c r="E32" i="2"/>
  <c r="E29" i="2"/>
  <c r="E28" i="2"/>
  <c r="E27" i="2"/>
  <c r="E26" i="2"/>
  <c r="E25" i="2"/>
  <c r="E21" i="2"/>
  <c r="E18" i="2"/>
  <c r="E17" i="2"/>
  <c r="E13" i="2"/>
  <c r="E12" i="2"/>
  <c r="E11" i="2"/>
  <c r="E10" i="2"/>
  <c r="T33" i="1"/>
  <c r="T32" i="1"/>
  <c r="T29" i="1"/>
  <c r="T28" i="1"/>
  <c r="T27" i="1"/>
  <c r="T26" i="1"/>
  <c r="T25" i="1"/>
  <c r="T21" i="1"/>
  <c r="T18" i="1"/>
  <c r="T17" i="1"/>
  <c r="T13" i="1"/>
  <c r="T12" i="1"/>
  <c r="T11" i="1"/>
  <c r="J29" i="8" l="1"/>
  <c r="I29" i="8"/>
  <c r="I36" i="11"/>
  <c r="J36" i="11"/>
  <c r="K36" i="11" s="1"/>
  <c r="J21" i="8"/>
  <c r="I21" i="8"/>
  <c r="I17" i="3"/>
  <c r="J17" i="3"/>
  <c r="I32" i="3"/>
  <c r="J32" i="3"/>
  <c r="J40" i="2"/>
  <c r="I40" i="2"/>
  <c r="I32" i="10"/>
  <c r="J32" i="10"/>
  <c r="I18" i="3"/>
  <c r="J18" i="3"/>
  <c r="J33" i="3"/>
  <c r="I33" i="3"/>
  <c r="J28" i="9"/>
  <c r="I28" i="9"/>
  <c r="I32" i="9"/>
  <c r="J32" i="9"/>
  <c r="J32" i="7"/>
  <c r="I32" i="7"/>
  <c r="I33" i="7"/>
  <c r="J33" i="7"/>
  <c r="I36" i="6"/>
  <c r="J36" i="6"/>
  <c r="I21" i="3"/>
  <c r="J21" i="3"/>
  <c r="I36" i="3"/>
  <c r="J36" i="3"/>
  <c r="I17" i="10"/>
  <c r="J17" i="10"/>
  <c r="J11" i="11"/>
  <c r="K11" i="11" s="1"/>
  <c r="I11" i="11"/>
  <c r="J17" i="11"/>
  <c r="K17" i="11" s="1"/>
  <c r="I17" i="11"/>
  <c r="I10" i="8"/>
  <c r="J10" i="8"/>
  <c r="J27" i="11"/>
  <c r="K27" i="11" s="1"/>
  <c r="I27" i="11"/>
  <c r="I25" i="3"/>
  <c r="J25" i="3"/>
  <c r="J37" i="3"/>
  <c r="I37" i="3"/>
  <c r="J26" i="3"/>
  <c r="I26" i="3"/>
  <c r="I40" i="3"/>
  <c r="J40" i="3"/>
  <c r="J13" i="8"/>
  <c r="I13" i="8"/>
  <c r="I21" i="11"/>
  <c r="J21" i="11"/>
  <c r="K21" i="11" s="1"/>
  <c r="I40" i="8"/>
  <c r="J40" i="8"/>
  <c r="J37" i="9"/>
  <c r="I37" i="9"/>
  <c r="I40" i="7"/>
  <c r="J40" i="7"/>
  <c r="J27" i="3"/>
  <c r="I27" i="3"/>
  <c r="J36" i="8"/>
  <c r="I36" i="8"/>
  <c r="P10" i="6"/>
  <c r="P11" i="6"/>
  <c r="P12" i="6"/>
  <c r="P13" i="6"/>
  <c r="P17" i="6"/>
  <c r="P18" i="6"/>
  <c r="P21" i="6"/>
  <c r="P25" i="6"/>
  <c r="P26" i="6"/>
  <c r="P27" i="6"/>
  <c r="P28" i="6"/>
  <c r="P29" i="6"/>
  <c r="P32" i="6"/>
  <c r="P33" i="6"/>
  <c r="P40" i="6"/>
  <c r="J37" i="1"/>
  <c r="I37" i="1"/>
  <c r="I33" i="6"/>
  <c r="J33" i="6"/>
  <c r="J32" i="11"/>
  <c r="K32" i="11" s="1"/>
  <c r="I32" i="11"/>
  <c r="I26" i="8"/>
  <c r="J26" i="8"/>
  <c r="J12" i="9"/>
  <c r="I12" i="9"/>
  <c r="J12" i="3"/>
  <c r="I12" i="3"/>
  <c r="J28" i="3"/>
  <c r="I28" i="3"/>
  <c r="J25" i="9"/>
  <c r="I25" i="9"/>
  <c r="I13" i="3"/>
  <c r="J13" i="3"/>
  <c r="J29" i="3"/>
  <c r="I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T5" authorId="0" shapeId="0" xr:uid="{65ED0625-51DF-4C56-9ABE-9970C2F32CC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X5" authorId="1" shapeId="0" xr:uid="{B8D970B0-843E-4152-8068-2BA0FCF88633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Res. 997/24 - Publicada 09dic24 - Informada el 12dic24.</t>
        </r>
      </text>
    </comment>
    <comment ref="E8" authorId="0" shapeId="0" xr:uid="{73D16029-323B-48ED-B23F-0C890548EE2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E78FF72B-E79D-42E3-AA08-A808E5C9BDE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877E9B0-5F2A-4D37-9B01-05015E3550B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C8CE87A2-969E-41B7-B63C-A780A025E26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D7073769-2EA6-4EC7-A084-DC1E8AD7A87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5B17B6F1-C60D-4C50-8CC2-3BB06B5A80B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8FF53A56-D726-44D6-B883-8DBFD522CE5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AE300492-6D62-411B-9941-02687D32177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B8ECE918-9A98-424F-BF49-34BFB8650B4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E856819E-611A-4AD3-80E2-C84D53F4F09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5BBAC438-C6F2-4243-B59A-3B2271F947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W8" authorId="1" shapeId="0" xr:uid="{2C3BFD96-8101-4E98-920D-2FE671B166AB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Publicada el 9dic24
Aplicación proporcional por los 22 días de Diciembre 2024</t>
        </r>
      </text>
    </comment>
    <comment ref="X8" authorId="1" shapeId="0" xr:uid="{907D8078-D9E8-4245-838E-9FC89151E370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Aplicación plena RES 997/24</t>
        </r>
      </text>
    </comment>
    <comment ref="A39" authorId="0" shapeId="0" xr:uid="{5D40CE31-C72E-4076-A0BF-16E94F373C3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511141CE-B6D3-4A29-8A51-89D52EC3BD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1D66868A-E441-4CB4-9449-BC397692185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558A3111-8023-4E37-BA12-363491BFC6F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90E97979-BBC5-4AA4-9C38-10B85470856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D929AD9-CD6F-4B1A-A566-9768E59D930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0" shapeId="0" xr:uid="{94FBA9DD-27ED-456A-B9BB-EA6D49C85F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B2430C7F-8828-45A1-B4ED-406292D4DD2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31B6DFF-C8CB-4873-8B33-DD457D66E20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62DD02E1-C0AE-4292-866C-8917620BE4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603F91C-140F-40CC-8CAF-D20AC4E8B73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M8" authorId="0" shapeId="0" xr:uid="{E5030892-0035-4740-AEBB-03C59FA6AF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27/ene/22, pasada la facturación CEB vto. Febrero 2022.
Por eso es que se comienza con aplicación plena, vto marzo 2022 (consumos febrero 2022)</t>
        </r>
      </text>
    </comment>
    <comment ref="A39" authorId="0" shapeId="0" xr:uid="{0C4C2F60-33FC-402C-A640-A9F6D0FCD2B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1AC68FAA-5761-4649-9919-59072EE07DC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654D2177-A806-40B1-BD63-8DC27C2459D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A9DD0B3-05C0-43C5-991E-62FD2CF3A2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E296EFC-8463-47EB-AEAC-08FD84BA036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L8" authorId="0" shapeId="0" xr:uid="{51B8BC8A-0B3A-442D-A1AD-15D63F20624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24/ago/21
Se recibió la comunicación tarde (pasada la facturación CEB vto. Set2021)
Por eso es que se comienza con aplicación plena, vto octubre 2021 (consumos Setiembre 2021)</t>
        </r>
      </text>
    </comment>
    <comment ref="A39" authorId="0" shapeId="0" xr:uid="{E10A3F5B-6C6E-4466-AFDF-DEB6A459706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6F14E142-F63B-44C7-9772-EE99E418B11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C39C884-D4E7-4ACC-B70C-528A0AFE84B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95CDCA7F-9D81-4687-87C5-94AEAF62778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C3D37427-A02E-42B5-834B-C8A14261C6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A39" authorId="0" shapeId="0" xr:uid="{74ECAA99-1362-4A1E-978A-349B094FD60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3B930DF1-E057-4DEF-9984-02C985C1017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044DB63-B13C-485B-9CCE-0B0BF2DDE7F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8C00D6A5-638C-4CDE-8109-DF8388A27C0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DCF11F93-CA29-4D4B-8AD2-CC3BC750117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46913E1-93E8-40B0-9F2D-DC678F145CB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E40A0B79-F903-4E9A-9125-DE91B948676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Este incremento mayor, creo es para compensar la leve reducción en facturado Melipal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T5" authorId="0" shapeId="0" xr:uid="{64E1CAEF-FF72-49E2-A1F2-6A99DA1326C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V5" authorId="1" shapeId="0" xr:uid="{85743362-58AD-420B-8543-E514E611ECCE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Res. 653/24 - Publicada 09ago24 - Informada el 02set24.</t>
        </r>
      </text>
    </comment>
    <comment ref="E8" authorId="0" shapeId="0" xr:uid="{71E24115-07B5-4A5C-836F-56246F4F88E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BC1DD038-BEC7-40C5-86F3-CC1AD2473DE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53C7DC9-94A6-4095-8DB5-FC81BFEA220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79A6074-3316-482A-B3FB-BD5F10D371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E8D06969-0191-4030-82C5-7411053F2A7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79827B05-0608-4D36-B232-2CF3CD74C1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5AAEF323-2400-41CD-9F06-2CE7C7DFC0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F48F5763-D781-4587-93BF-0DBF877B501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2770CE63-FEA4-476A-84EC-7FA684AC513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F09CC43A-4CA7-4450-B641-6B2DBAAF9C2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A6543A9A-3707-4793-A647-7A4A42EA853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AE3E1D3D-E448-4968-9CAB-3BB9A225B9A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0A3DEE75-2FB9-45BB-B40C-5F7DFC315E4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E8" authorId="0" shapeId="0" xr:uid="{CD90EC95-16C6-41AF-961D-928401BF0D7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93306F2-307C-49DA-B4D2-708B5AE101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C3BC1908-C1F3-476A-85B2-58B688D52CF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6C81E12-B263-4F68-AFBA-CE4C1CCF00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7E7FD053-52CF-477E-85D0-F62E87C56EE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61E585F1-287A-40A1-A7AC-1F3ED84C372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98ECC7C3-C128-4AD2-8AF4-66EADD5F1C7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EDEDBBC3-102E-4259-8903-5147CAE4F43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11976D60-E7F1-4C0C-A830-5FEB712640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FD9F9886-5C4E-4E2F-BD9C-E9350B22B4F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D45AABC6-A2A0-4B03-9FA2-3168A1F65C9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A0050189-D197-4CDD-A7B9-6221AC72D9E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86E333C0-E696-4D35-86AE-BBA80DD9165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E8" authorId="0" shapeId="0" xr:uid="{B864D616-8C95-4ECF-9F98-43CCE00235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2B72DBFD-92E7-46BC-B38C-CB2F0F7CA3C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86497966-8E59-49C8-8378-8D4FC11FF73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1ECC7D7-C113-48EA-96D5-970B5A54AE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D60E40F7-C247-4D55-BE2F-4A36B053D50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64F8B68-D29C-4C1B-901C-1AD8C6FC19D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2134AE26-9584-4C28-8351-C1DD750E6B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341B8D29-A8E4-473A-B0AB-389193AB18E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BDB70FAC-B064-4868-964F-88A5456210C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A52DD21A-2357-4571-BD1F-D4FDD02F9C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3A25E56B-51C0-4599-9848-922D898716F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1993A213-6A2F-4EB1-9887-FF74DDDDA79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4826839B-2985-4837-8D5F-114E28FE6F7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99A1132A-4DF4-4A83-8CD2-F7D97119CA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DEABEF02-D18A-472C-AAB2-3AD55C8E779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58CC9403-EC00-47F0-9ED0-222B67F6140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0F739AC5-BF86-45DC-9E17-3E878E1D1E9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AF276ECD-5470-4B65-83C3-0194184DC5A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1C63BB3A-80A4-44BE-9BE4-ED86720709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1DA0263B-2662-4297-87E8-153CE2D7EA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EE6B0494-2740-4529-B0D8-82E11A8A326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238AE2C0-822C-4172-B53B-C2A03FD1971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DF3B98B3-17D7-4FCC-83B1-22CD2D91137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C510BD58-810F-44AF-B5AF-C5B290A4818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5398E600-BCAD-4F8E-90F0-040B183D5B5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FEE3CAB-7EE0-4284-802C-EF441B6AC9B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DBEF3FF-0E17-4849-8FAB-F7267369BBA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F62BFF3-41E0-4555-AB43-3F06D186318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F040E2AB-293C-4DE7-BAC4-199053B8C01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87230EF-30D4-4808-A9CA-D435EC98CFE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A54F89DB-98EB-48CA-88BE-71E4748E0B6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606CF34A-81BC-4067-AFF3-D2CFF7B1E10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D9B413BC-BB8E-418C-BF79-06E3E9D68C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D7D26793-F2DB-4F09-BD46-9338CD65DA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A39" authorId="0" shapeId="0" xr:uid="{064C6331-3139-4F93-859F-8CD43604E86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E06E111-7B88-470E-A7F2-C3DFF6907CD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D22FAA71-D9CE-41F1-B82D-83D83562B9B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597E2AFE-6D44-41AB-8B32-DCC9995D188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7C1DE755-CFF7-4E4D-A017-A5C6A5B55C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31C9720-79BF-4DB7-9487-1BE903A9002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34C1A203-DBC7-43C9-8323-38B182D81A3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DAAAF911-A175-4C2C-9C27-82E243D6D3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Q8" authorId="0" shapeId="0" xr:uid="{7A36AC55-0E40-4564-8238-C212DDDE5AF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R8" authorId="0" shapeId="0" xr:uid="{6BBFF4CF-DC55-4E15-8B4C-9F1F3B34C3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0" shapeId="0" xr:uid="{F2CD948C-3EBE-4936-906D-C6BA8413BC1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5943E9D-ADD7-4069-98A0-49010E670B3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A88C7CDF-B9C7-4F85-B268-71A2BAAAE3A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B45BAD2-B690-4826-A8E6-26A9E941CE8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02E47E6-E701-4372-B537-4D9AC648B79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0AE0D53C-D81A-4316-B676-397B8ECB762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5E040D3A-E4B1-40BC-8CDA-BE5A548781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2A195A10-7C24-4E03-AABB-75A1419F06E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BB0DD290-676A-4A89-A3DF-3187983C0CF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0" shapeId="0" xr:uid="{BC878705-6E82-46F5-B28D-A4BE96D4050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8253B605-6805-4853-9586-2D0029A0EDE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ADDC9899-1500-4888-8FCC-405BAD6CE88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D99FC29A-ED69-482B-839A-66DFAD37828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9680ABA-99EB-48BA-87A5-0B6474B93BE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7FA2232A-8C2A-4753-9EEE-D45C9A2EDD2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1AD02360-21E9-4EEB-A6AB-600E464004A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1FD5DCB6-9CAC-4B19-8934-B2311AAE05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0" shapeId="0" xr:uid="{879EDA96-713E-4BF6-90E9-C9D0D4A8DD0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sharedStrings.xml><?xml version="1.0" encoding="utf-8"?>
<sst xmlns="http://schemas.openxmlformats.org/spreadsheetml/2006/main" count="1314" uniqueCount="115">
  <si>
    <t>A FACTURAR</t>
  </si>
  <si>
    <t>CUADROS TARIFARIOS APLICANDO RESOLUCIÓN DPA 779/19 - 1078/19 - 1753/19, 522/20, 282/21, 647/21, 15/22, 290/22, 708/22, 42/23, 341/23, 664/23, 992/23 y 40/24, 353/24</t>
  </si>
  <si>
    <t>Res 779/19</t>
  </si>
  <si>
    <t>Res 1078/19</t>
  </si>
  <si>
    <t>Res 1753/19</t>
  </si>
  <si>
    <t>Res 522/20</t>
  </si>
  <si>
    <t>Res 282/21</t>
  </si>
  <si>
    <t>Res 647/21</t>
  </si>
  <si>
    <t>Res 15/22</t>
  </si>
  <si>
    <t>Res 290/22</t>
  </si>
  <si>
    <t>Res 708/22</t>
  </si>
  <si>
    <t>Res 42/23</t>
  </si>
  <si>
    <t>Res 341/23</t>
  </si>
  <si>
    <t>Res 664/23</t>
  </si>
  <si>
    <t>Res 992/23</t>
  </si>
  <si>
    <t>Res 40/24 (reemplaza Res 992/23)</t>
  </si>
  <si>
    <t>Res. 353/24</t>
  </si>
  <si>
    <t>TARIFAS</t>
  </si>
  <si>
    <t>Unidad</t>
  </si>
  <si>
    <t>Consumos Julio 2019</t>
  </si>
  <si>
    <t>Consumos Agosto 2019</t>
  </si>
  <si>
    <t>Consumos Setiembre 2019</t>
  </si>
  <si>
    <t>Consumos Dic 2019</t>
  </si>
  <si>
    <t>Consumos Ene 2020</t>
  </si>
  <si>
    <t>Consumos Ago 2020</t>
  </si>
  <si>
    <t>Consumos Set 2020</t>
  </si>
  <si>
    <t>Consumos May 2021</t>
  </si>
  <si>
    <t>Consumos Set 2021</t>
  </si>
  <si>
    <t>Consumos Feb 2022</t>
  </si>
  <si>
    <t>Consumos May 2022</t>
  </si>
  <si>
    <t>Consumos Oct 2022</t>
  </si>
  <si>
    <t>Consumos Feb 2023</t>
  </si>
  <si>
    <t>Consumos Jun 2023</t>
  </si>
  <si>
    <t>Consumos Dic 2023 (parcial)</t>
  </si>
  <si>
    <t>Consumos Ene 2024</t>
  </si>
  <si>
    <t>Consumos Mayo 24</t>
  </si>
  <si>
    <t>(Fac. Vto. Ago'19)</t>
  </si>
  <si>
    <t>(Fac. Vto. Set'19)</t>
  </si>
  <si>
    <t>(Fac. Vto. Ene'20)</t>
  </si>
  <si>
    <t>(Fac. Vto. Feb'20)</t>
  </si>
  <si>
    <t>(Fac. Vto. Set'20)</t>
  </si>
  <si>
    <t>(Fac. Vto. Jun'21)</t>
  </si>
  <si>
    <t>(Fac. Vto. Oct'21)</t>
  </si>
  <si>
    <t>(Fac. Vto. Mar'22)</t>
  </si>
  <si>
    <t>(Fac. Vto. Jun'22)</t>
  </si>
  <si>
    <t>(Fac. Vto. Nov'22)</t>
  </si>
  <si>
    <t>(Fac. Vto. Mar'23)</t>
  </si>
  <si>
    <t>(Fac. Vto. Jul'23)</t>
  </si>
  <si>
    <t>(Fac. Vto. Oct'23)</t>
  </si>
  <si>
    <t>(Fac. Vto. Ene'24)</t>
  </si>
  <si>
    <t>(Fac. Vto. Feb'24)</t>
  </si>
  <si>
    <t>(Fac. Vto. Junio'24)</t>
  </si>
  <si>
    <t>Incremento tarifario</t>
  </si>
  <si>
    <t>Cuotas Fijas Mínima Mensuales:</t>
  </si>
  <si>
    <t>Residencial</t>
  </si>
  <si>
    <t xml:space="preserve">$ </t>
  </si>
  <si>
    <t>No Residencial I</t>
  </si>
  <si>
    <t>No Residencial II</t>
  </si>
  <si>
    <t>Baldío</t>
  </si>
  <si>
    <t>Recargo sobre la Cuota Fija Mensual:</t>
  </si>
  <si>
    <t>No Residencial Clase I / SubClase 1</t>
  </si>
  <si>
    <t>No Residencial Clase I / SubClase 2</t>
  </si>
  <si>
    <t>Valor del coeficiente de actualización "K"</t>
  </si>
  <si>
    <t>Sistema medido:</t>
  </si>
  <si>
    <t>De 0 a 15 m3 (cargo fijo)</t>
  </si>
  <si>
    <t>De 15 a 30 m3</t>
  </si>
  <si>
    <t>$/m3</t>
  </si>
  <si>
    <t>De 30 a 45 m3</t>
  </si>
  <si>
    <t>De 45 a 60 m3</t>
  </si>
  <si>
    <t>más de 60 m3</t>
  </si>
  <si>
    <t>Junta Vecinal Parque Melipal:</t>
  </si>
  <si>
    <t>Costo de depuración</t>
  </si>
  <si>
    <t>Costo de mantenimiento</t>
  </si>
  <si>
    <t>$/mes</t>
  </si>
  <si>
    <t>Descarga de vehículos atmosféricos</t>
  </si>
  <si>
    <t>Instalaciones domiciliarias</t>
  </si>
  <si>
    <t>$ x descarga</t>
  </si>
  <si>
    <t>Instalaciones industriales</t>
  </si>
  <si>
    <t>Tratamientos de lodo plantas depuradoras terceros</t>
  </si>
  <si>
    <t>Llao llao / Cervecería Patagonia</t>
  </si>
  <si>
    <t>CUADROS TARIFARIOS APLICANDO RESOLUCIÓN DPA 779/19 - 1078/19 - 1753/19, 522/20, 282/21, 647/21, 15/22, 290/22, 708/22, 42/23, 341/23, 664/23, 992/23 y 40/24</t>
  </si>
  <si>
    <t>CUADROS TARIFARIOS APLICANDO RESOLUCIÓN DPA 779/19 - 1078/19 - 1753/19, 522/20, 282/21, 647/21, 15/22, 290/22, 708/22, 42/23, 341/23, 664/23 y 992/23</t>
  </si>
  <si>
    <t>CUADROS TARIFARIOS APLICANDO RESOLUCIÓN DPA 779/19 - 1078/19 - 1753/19, 522/20, 282/21, 647/21, 15/22, 290/22, 708/22, 42/23, 341/23 Y 664/23</t>
  </si>
  <si>
    <t>Consumos May 2023 (parcial)</t>
  </si>
  <si>
    <t>(Fac. Vto. Set'23)</t>
  </si>
  <si>
    <t>CUADROS TARIFARIOS APLICANDO RESOLUCIÓN DPA 779/19 - 1078/19 - 1753/19, 522/20, 282/21, 647/21, 15/22, 290/22, 708/22, 42/23 Y 341/23</t>
  </si>
  <si>
    <t>(Fac. Vto. Jun'23)</t>
  </si>
  <si>
    <t>CUADROS TARIFARIOS APLICANDO RESOLUCIÓN DPA 779/19 - 1078/19 - 1753/19, 522/20, 282/21, 647/21, 15/22, 290/22, 708/22 Y 42/23</t>
  </si>
  <si>
    <t>Consumos Ene 2023 (parcial)</t>
  </si>
  <si>
    <t>(Fac. Vto. Feb'23)</t>
  </si>
  <si>
    <t>CUADROS TARIFARIOS APLICANDO RESOLUCIÓN DPA 779/19 - 1078/19 - 1753/19, 522/20, 282/21, 647/21, 15/22, 290/22 y 708/22</t>
  </si>
  <si>
    <t>Consumos Set 2022 (parcial)</t>
  </si>
  <si>
    <t>(Fac. Vto. Oct'22)</t>
  </si>
  <si>
    <t>CUADROS TARIFARIOS APLICANDO RESOLUCIÓN DPA 779/19 - 1078/19 - 1753/19, 522/20, 282/21, 647/21, 15/22 y 290/22</t>
  </si>
  <si>
    <t>CUADROS TARIFARIOS APLICANDO RESOLUCIÓN DPA 779/19 - 1078/19 - 1753/19, 522/20, 282/21, 647/21 y 15/22</t>
  </si>
  <si>
    <t>CUADROS TARIFARIOS APLICANDO RESOLUCIÓN DPA 779/19 - 1078/19 - 1753/19, 522/20, 282/21 y 647/21</t>
  </si>
  <si>
    <t>CUADROS TARIFARIOS APLICANDO RESOLUCIÓN DPA 779/19 - 1078/19 - 1753/19 Y 522/20</t>
  </si>
  <si>
    <t>CUADROS TARIFARIOS APLICANDO RESOLUCIÓN DPA 1078/19 y 1753/19</t>
  </si>
  <si>
    <t>ç</t>
  </si>
  <si>
    <t>PROPUESTA APLICACIÓN RESOLUCIÓN DPA 779/19</t>
  </si>
  <si>
    <t>Res 1752/17</t>
  </si>
  <si>
    <t>Incrementos respecto</t>
  </si>
  <si>
    <t>Consumos Febrero 2018</t>
  </si>
  <si>
    <t>Cuadro Res 1752/17</t>
  </si>
  <si>
    <t>(Fac. Vto. Mar'17)</t>
  </si>
  <si>
    <t>Res. 653/24</t>
  </si>
  <si>
    <t>Consumos Set 24</t>
  </si>
  <si>
    <t>(Fac. Vto. Oct'24)</t>
  </si>
  <si>
    <t>CUADROS TARIFARIOS APLICANDO RESOLUCIÓN DPA 779/19 - 1078/19 - 1753/19, 522/20, 282/21, 647/21, 15/22, 290/22, 708/22, 42/23, 341/23, 664/23, 992/23, 40/24, 353/24 y 653/24</t>
  </si>
  <si>
    <t>CUADROS TARIFARIOS APLICANDO RESOLUCIÓN DPA 779/19 - 1078/19 - 1753/19, 522/20, 282/21, 647/21, 15/22, 290/22, 708/22, 42/23, 341/23, 664/23, 992/23, 40/24, 353/24, 653/24 y 997/24</t>
  </si>
  <si>
    <t>Res. 997/24</t>
  </si>
  <si>
    <t>Consumos Dic 24</t>
  </si>
  <si>
    <t>(Fac. Vto. Ene'25)</t>
  </si>
  <si>
    <t>Consumos Ene 25</t>
  </si>
  <si>
    <t>(Fac. Vto. Feb'25)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</si>
</sst>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2C0A]\ #,##0.00"/>
    <numFmt numFmtId="165" formatCode="0.0000%"/>
    <numFmt numFmtId="166" formatCode="0.000%"/>
    <numFmt numFmtId="167" formatCode="_-&quot;$ &quot;* #,##0.00_-;&quot;-$ &quot;* #,##0.00_-;_-&quot;$ &quot;* \-??_-;_-@_-"/>
    <numFmt numFmtId="168" formatCode="[$$-2C0A]\ #,##0.0000"/>
    <numFmt numFmtId="169" formatCode="[$$-2C0A]\ #,##0.000000"/>
  </numFmts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167" fontId="7" fillId="0" borderId="0"/>
    <xf numFmtId="9" fontId="1" fillId="0" borderId="0"/>
    <xf numFmtId="0" fontId="1" fillId="0" borderId="0"/>
  </cellStyleXfs>
  <cellXfs count="121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2" fillId="2" borderId="0" xfId="3" applyFont="1" applyFill="1" applyAlignment="1">
      <alignment horizontal="center"/>
    </xf>
    <xf numFmtId="164" fontId="1" fillId="0" borderId="0" xfId="3" applyNumberFormat="1"/>
    <xf numFmtId="0" fontId="3" fillId="0" borderId="0" xfId="3" applyFont="1"/>
    <xf numFmtId="0" fontId="3" fillId="0" borderId="0" xfId="3" applyFont="1" applyAlignment="1">
      <alignment horizontal="center"/>
    </xf>
    <xf numFmtId="0" fontId="1" fillId="0" borderId="1" xfId="3" applyBorder="1"/>
    <xf numFmtId="0" fontId="1" fillId="0" borderId="2" xfId="3" applyBorder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/>
    </xf>
    <xf numFmtId="0" fontId="2" fillId="0" borderId="8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2" fillId="0" borderId="13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/>
    </xf>
    <xf numFmtId="0" fontId="2" fillId="0" borderId="14" xfId="3" applyFont="1" applyBorder="1" applyAlignment="1">
      <alignment horizontal="center" vertical="center"/>
    </xf>
    <xf numFmtId="10" fontId="0" fillId="0" borderId="0" xfId="0" applyNumberFormat="1"/>
    <xf numFmtId="0" fontId="2" fillId="0" borderId="15" xfId="3" applyFont="1" applyBorder="1"/>
    <xf numFmtId="0" fontId="2" fillId="0" borderId="16" xfId="3" applyFont="1" applyBorder="1"/>
    <xf numFmtId="0" fontId="2" fillId="0" borderId="17" xfId="3" applyFont="1" applyBorder="1"/>
    <xf numFmtId="0" fontId="2" fillId="0" borderId="18" xfId="3" applyFont="1" applyBorder="1" applyAlignment="1">
      <alignment horizontal="center" vertical="center"/>
    </xf>
    <xf numFmtId="165" fontId="2" fillId="0" borderId="17" xfId="2" applyNumberFormat="1" applyFont="1" applyBorder="1" applyAlignment="1">
      <alignment horizontal="center" vertical="center"/>
    </xf>
    <xf numFmtId="10" fontId="2" fillId="0" borderId="17" xfId="2" applyNumberFormat="1" applyFont="1" applyBorder="1" applyAlignment="1">
      <alignment horizontal="center" vertical="center"/>
    </xf>
    <xf numFmtId="166" fontId="2" fillId="0" borderId="17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165" fontId="2" fillId="0" borderId="20" xfId="2" applyNumberFormat="1" applyFont="1" applyBorder="1"/>
    <xf numFmtId="0" fontId="3" fillId="0" borderId="21" xfId="3" applyFont="1" applyBorder="1"/>
    <xf numFmtId="0" fontId="3" fillId="0" borderId="22" xfId="3" applyFont="1" applyBorder="1"/>
    <xf numFmtId="0" fontId="1" fillId="0" borderId="7" xfId="3" applyBorder="1"/>
    <xf numFmtId="0" fontId="1" fillId="0" borderId="9" xfId="3" applyBorder="1"/>
    <xf numFmtId="10" fontId="0" fillId="3" borderId="23" xfId="0" applyNumberFormat="1" applyFill="1" applyBorder="1"/>
    <xf numFmtId="0" fontId="1" fillId="0" borderId="21" xfId="3" applyBorder="1"/>
    <xf numFmtId="0" fontId="1" fillId="0" borderId="22" xfId="3" applyBorder="1"/>
    <xf numFmtId="0" fontId="1" fillId="0" borderId="7" xfId="3" applyBorder="1" applyAlignment="1">
      <alignment horizontal="center" vertical="center"/>
    </xf>
    <xf numFmtId="164" fontId="1" fillId="0" borderId="8" xfId="3" applyNumberFormat="1" applyBorder="1"/>
    <xf numFmtId="164" fontId="1" fillId="0" borderId="7" xfId="3" applyNumberFormat="1" applyBorder="1"/>
    <xf numFmtId="164" fontId="1" fillId="0" borderId="7" xfId="2" applyNumberFormat="1" applyBorder="1"/>
    <xf numFmtId="164" fontId="1" fillId="0" borderId="9" xfId="3" applyNumberFormat="1" applyBorder="1"/>
    <xf numFmtId="164" fontId="1" fillId="0" borderId="20" xfId="2" applyNumberFormat="1" applyBorder="1"/>
    <xf numFmtId="164" fontId="1" fillId="0" borderId="24" xfId="2" applyNumberFormat="1" applyBorder="1"/>
    <xf numFmtId="0" fontId="3" fillId="0" borderId="7" xfId="3" applyFont="1" applyBorder="1"/>
    <xf numFmtId="0" fontId="6" fillId="0" borderId="0" xfId="0" applyFont="1"/>
    <xf numFmtId="10" fontId="1" fillId="0" borderId="7" xfId="2" applyNumberFormat="1" applyBorder="1"/>
    <xf numFmtId="10" fontId="1" fillId="0" borderId="24" xfId="2" applyNumberFormat="1" applyBorder="1"/>
    <xf numFmtId="0" fontId="1" fillId="0" borderId="25" xfId="3" applyBorder="1"/>
    <xf numFmtId="0" fontId="1" fillId="0" borderId="26" xfId="3" applyBorder="1"/>
    <xf numFmtId="0" fontId="1" fillId="0" borderId="27" xfId="3" applyBorder="1"/>
    <xf numFmtId="0" fontId="1" fillId="0" borderId="28" xfId="3" applyBorder="1"/>
    <xf numFmtId="0" fontId="1" fillId="0" borderId="29" xfId="3" applyBorder="1"/>
    <xf numFmtId="0" fontId="2" fillId="2" borderId="5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15" xfId="3" applyFont="1" applyFill="1" applyBorder="1"/>
    <xf numFmtId="0" fontId="2" fillId="2" borderId="16" xfId="3" applyFont="1" applyFill="1" applyBorder="1"/>
    <xf numFmtId="0" fontId="2" fillId="2" borderId="17" xfId="3" applyFont="1" applyFill="1" applyBorder="1"/>
    <xf numFmtId="0" fontId="2" fillId="2" borderId="18" xfId="3" applyFont="1" applyFill="1" applyBorder="1" applyAlignment="1">
      <alignment horizontal="center" vertical="center"/>
    </xf>
    <xf numFmtId="165" fontId="2" fillId="2" borderId="17" xfId="2" applyNumberFormat="1" applyFont="1" applyFill="1" applyBorder="1" applyAlignment="1">
      <alignment horizontal="center" vertical="center"/>
    </xf>
    <xf numFmtId="10" fontId="2" fillId="2" borderId="17" xfId="2" applyNumberFormat="1" applyFont="1" applyFill="1" applyBorder="1" applyAlignment="1">
      <alignment horizontal="center" vertical="center"/>
    </xf>
    <xf numFmtId="166" fontId="2" fillId="2" borderId="17" xfId="2" applyNumberFormat="1" applyFont="1" applyFill="1" applyBorder="1" applyAlignment="1">
      <alignment horizontal="center" vertical="center"/>
    </xf>
    <xf numFmtId="165" fontId="2" fillId="3" borderId="19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5" fontId="1" fillId="0" borderId="0" xfId="2" applyNumberFormat="1"/>
    <xf numFmtId="0" fontId="1" fillId="2" borderId="9" xfId="3" applyFill="1" applyBorder="1"/>
    <xf numFmtId="164" fontId="1" fillId="2" borderId="9" xfId="3" applyNumberFormat="1" applyFill="1" applyBorder="1"/>
    <xf numFmtId="164" fontId="1" fillId="0" borderId="0" xfId="2" applyNumberFormat="1"/>
    <xf numFmtId="166" fontId="1" fillId="0" borderId="0" xfId="2" applyNumberFormat="1"/>
    <xf numFmtId="164" fontId="1" fillId="3" borderId="9" xfId="3" applyNumberFormat="1" applyFill="1" applyBorder="1"/>
    <xf numFmtId="10" fontId="1" fillId="0" borderId="0" xfId="2" applyNumberFormat="1"/>
    <xf numFmtId="164" fontId="1" fillId="0" borderId="0" xfId="1" applyNumberFormat="1" applyFont="1"/>
    <xf numFmtId="0" fontId="1" fillId="2" borderId="28" xfId="3" applyFill="1" applyBorder="1"/>
    <xf numFmtId="0" fontId="2" fillId="2" borderId="30" xfId="3" applyFont="1" applyFill="1" applyBorder="1" applyAlignment="1">
      <alignment horizontal="center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165" fontId="2" fillId="2" borderId="33" xfId="2" applyNumberFormat="1" applyFont="1" applyFill="1" applyBorder="1" applyAlignment="1">
      <alignment horizontal="center" vertical="center"/>
    </xf>
    <xf numFmtId="168" fontId="1" fillId="0" borderId="0" xfId="1" applyNumberFormat="1" applyFont="1"/>
    <xf numFmtId="167" fontId="1" fillId="0" borderId="0" xfId="1" applyFont="1"/>
    <xf numFmtId="169" fontId="1" fillId="0" borderId="0" xfId="3" applyNumberFormat="1"/>
    <xf numFmtId="0" fontId="2" fillId="2" borderId="34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0" borderId="14" xfId="3" applyFont="1" applyBorder="1" applyAlignment="1">
      <alignment horizontal="center"/>
    </xf>
    <xf numFmtId="0" fontId="2" fillId="2" borderId="36" xfId="3" applyFont="1" applyFill="1" applyBorder="1" applyAlignment="1">
      <alignment horizontal="center" vertical="center"/>
    </xf>
    <xf numFmtId="10" fontId="2" fillId="2" borderId="19" xfId="2" applyNumberFormat="1" applyFont="1" applyFill="1" applyBorder="1" applyAlignment="1">
      <alignment horizontal="center" vertical="center"/>
    </xf>
    <xf numFmtId="165" fontId="2" fillId="2" borderId="37" xfId="2" applyNumberFormat="1" applyFont="1" applyFill="1" applyBorder="1" applyAlignment="1">
      <alignment horizontal="center" vertical="center"/>
    </xf>
    <xf numFmtId="0" fontId="1" fillId="2" borderId="35" xfId="3" applyFill="1" applyBorder="1"/>
    <xf numFmtId="164" fontId="1" fillId="0" borderId="9" xfId="2" applyNumberFormat="1" applyBorder="1"/>
    <xf numFmtId="164" fontId="1" fillId="2" borderId="35" xfId="3" applyNumberFormat="1" applyFill="1" applyBorder="1"/>
    <xf numFmtId="10" fontId="1" fillId="0" borderId="9" xfId="2" applyNumberFormat="1" applyBorder="1"/>
    <xf numFmtId="0" fontId="1" fillId="2" borderId="38" xfId="3" applyFill="1" applyBorder="1"/>
    <xf numFmtId="0" fontId="1" fillId="2" borderId="0" xfId="3" applyFill="1"/>
    <xf numFmtId="164" fontId="1" fillId="2" borderId="0" xfId="3" applyNumberFormat="1" applyFill="1"/>
    <xf numFmtId="0" fontId="2" fillId="2" borderId="3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1" fillId="2" borderId="7" xfId="3" applyFill="1" applyBorder="1"/>
    <xf numFmtId="164" fontId="1" fillId="2" borderId="7" xfId="3" applyNumberFormat="1" applyFill="1" applyBorder="1"/>
    <xf numFmtId="0" fontId="1" fillId="2" borderId="27" xfId="3" applyFill="1" applyBorder="1"/>
    <xf numFmtId="0" fontId="2" fillId="0" borderId="39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1" fillId="0" borderId="41" xfId="3" applyBorder="1"/>
    <xf numFmtId="0" fontId="1" fillId="0" borderId="8" xfId="3" applyBorder="1"/>
    <xf numFmtId="0" fontId="1" fillId="0" borderId="40" xfId="3" applyBorder="1"/>
    <xf numFmtId="10" fontId="1" fillId="0" borderId="40" xfId="2" applyNumberFormat="1" applyBorder="1"/>
    <xf numFmtId="0" fontId="1" fillId="0" borderId="42" xfId="3" applyBorder="1"/>
    <xf numFmtId="0" fontId="1" fillId="0" borderId="43" xfId="3" applyBorder="1"/>
    <xf numFmtId="0" fontId="2" fillId="0" borderId="3" xfId="3" applyFont="1" applyBorder="1" applyAlignment="1">
      <alignment horizontal="center" vertical="center" wrapText="1"/>
    </xf>
    <xf numFmtId="0" fontId="2" fillId="4" borderId="0" xfId="3" applyFont="1" applyFill="1" applyAlignment="1">
      <alignment horizontal="center"/>
    </xf>
    <xf numFmtId="0" fontId="2" fillId="5" borderId="3" xfId="3" applyFont="1" applyFill="1" applyBorder="1" applyAlignment="1">
      <alignment horizontal="center" vertical="center"/>
    </xf>
    <xf numFmtId="0" fontId="2" fillId="5" borderId="7" xfId="3" applyFont="1" applyFill="1" applyBorder="1" applyAlignment="1">
      <alignment horizontal="center" vertical="center"/>
    </xf>
    <xf numFmtId="0" fontId="2" fillId="5" borderId="12" xfId="3" applyFont="1" applyFill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3" fillId="0" borderId="0" xfId="3" applyFont="1" applyAlignment="1">
      <alignment horizontal="center"/>
    </xf>
    <xf numFmtId="4" fontId="1" fillId="0" borderId="0" xfId="2" applyNumberFormat="1"/>
  </cellXfs>
  <cellStyles count="4">
    <cellStyle name="Excel Built-in Normal 1" xfId="3" xr:uid="{33C4B4E1-9494-4EE7-A83B-41B92A270CB5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F334-4369-465D-AB65-B4801F06AFE1}">
  <dimension ref="A1:Z43"/>
  <sheetViews>
    <sheetView tabSelected="1" topLeftCell="A11" zoomScale="80" zoomScaleNormal="80" workbookViewId="0">
      <selection activeCell="W38" sqref="W38"/>
    </sheetView>
  </sheetViews>
  <sheetFormatPr baseColWidth="10" defaultRowHeight="13.2" x14ac:dyDescent="0.25"/>
  <cols>
    <col min="1" max="1" width="11.33203125" customWidth="1"/>
    <col min="2" max="2" width="34.5546875" customWidth="1"/>
    <col min="3" max="3" width="12.33203125" customWidth="1"/>
    <col min="4" max="16" width="0" hidden="1" customWidth="1"/>
    <col min="17" max="18" width="24.6640625" hidden="1" customWidth="1"/>
    <col min="19" max="19" width="25.5546875" hidden="1" customWidth="1"/>
    <col min="20" max="20" width="24.6640625" hidden="1" customWidth="1"/>
    <col min="21" max="21" width="21.33203125" hidden="1" customWidth="1"/>
    <col min="22" max="24" width="21.33203125" customWidth="1"/>
    <col min="25" max="25" width="16.44140625" customWidth="1"/>
    <col min="26" max="259" width="12.4414062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"/>
      <c r="V1" s="1"/>
      <c r="W1" s="1"/>
      <c r="X1" s="114" t="s">
        <v>0</v>
      </c>
    </row>
    <row r="2" spans="1:26" ht="14.4" x14ac:dyDescent="0.3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  <c r="W2" s="1"/>
      <c r="X2" s="1"/>
    </row>
    <row r="3" spans="1:26" ht="14.4" x14ac:dyDescent="0.3">
      <c r="A3" s="5" t="s">
        <v>109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1"/>
      <c r="V3" s="1"/>
      <c r="W3" s="1"/>
      <c r="X3" s="1"/>
    </row>
    <row r="4" spans="1:26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29.4" thickTop="1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9" t="s">
        <v>14</v>
      </c>
      <c r="T5" s="113" t="s">
        <v>15</v>
      </c>
      <c r="U5" s="9" t="s">
        <v>16</v>
      </c>
      <c r="V5" s="9" t="s">
        <v>105</v>
      </c>
      <c r="W5" s="9" t="s">
        <v>110</v>
      </c>
      <c r="X5" s="115" t="s">
        <v>110</v>
      </c>
    </row>
    <row r="6" spans="1:26" ht="14.4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15" t="s">
        <v>33</v>
      </c>
      <c r="T6" s="15" t="s">
        <v>34</v>
      </c>
      <c r="U6" s="15" t="s">
        <v>35</v>
      </c>
      <c r="V6" s="15" t="s">
        <v>106</v>
      </c>
      <c r="W6" s="15" t="s">
        <v>111</v>
      </c>
      <c r="X6" s="116" t="s">
        <v>113</v>
      </c>
    </row>
    <row r="7" spans="1:26" ht="15" thickBot="1" x14ac:dyDescent="0.35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22" t="s">
        <v>49</v>
      </c>
      <c r="T7" s="22" t="s">
        <v>50</v>
      </c>
      <c r="U7" s="22" t="s">
        <v>51</v>
      </c>
      <c r="V7" s="22" t="s">
        <v>107</v>
      </c>
      <c r="W7" s="22" t="s">
        <v>112</v>
      </c>
      <c r="X7" s="117" t="s">
        <v>114</v>
      </c>
      <c r="Y7" s="24"/>
    </row>
    <row r="8" spans="1:26" ht="12.9" customHeight="1" thickBot="1" x14ac:dyDescent="0.35">
      <c r="A8" s="25"/>
      <c r="B8" s="26" t="s">
        <v>52</v>
      </c>
      <c r="C8" s="27"/>
      <c r="D8" s="28"/>
      <c r="E8" s="29">
        <f>0.2128/31*12</f>
        <v>8.2374193548387084E-2</v>
      </c>
      <c r="F8" s="30">
        <v>0.21280000000000002</v>
      </c>
      <c r="G8" s="29">
        <v>0.12872372116775888</v>
      </c>
      <c r="H8" s="30">
        <v>0.33253627968337712</v>
      </c>
      <c r="I8" s="29">
        <v>7.1113053927116393E-2</v>
      </c>
      <c r="J8" s="30">
        <v>9.5848029206113503E-2</v>
      </c>
      <c r="K8" s="31">
        <v>0.20175042348955402</v>
      </c>
      <c r="L8" s="31">
        <v>0.13259408917915702</v>
      </c>
      <c r="M8" s="29">
        <v>0.12449699232524369</v>
      </c>
      <c r="N8" s="29">
        <v>0.15620157898620202</v>
      </c>
      <c r="O8" s="29">
        <v>0.2451180599872369</v>
      </c>
      <c r="P8" s="29">
        <v>0.2451180599872369</v>
      </c>
      <c r="Q8" s="29">
        <v>0.11796806966618269</v>
      </c>
      <c r="R8" s="29">
        <v>0.40715930137958517</v>
      </c>
      <c r="S8" s="29">
        <v>0.2085804316762582</v>
      </c>
      <c r="T8" s="29">
        <v>1.3465981080781899</v>
      </c>
      <c r="U8" s="29">
        <v>0.24274750736519901</v>
      </c>
      <c r="V8" s="29">
        <v>0.31938380808962785</v>
      </c>
      <c r="W8" s="29">
        <f>+Z8*22/31</f>
        <v>0.1376518034907003</v>
      </c>
      <c r="X8" s="29">
        <f>+Z8*31/31</f>
        <v>0.19396390491871407</v>
      </c>
      <c r="Z8" s="70">
        <f>(37.3454/31.2785)-1</f>
        <v>0.19396390491871407</v>
      </c>
    </row>
    <row r="9" spans="1:26" ht="14.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Z9" s="70"/>
    </row>
    <row r="10" spans="1:26" ht="14.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44">
        <v>1529.7389390322585</v>
      </c>
      <c r="T10" s="44">
        <v>2970.1643400000007</v>
      </c>
      <c r="U10" s="44">
        <v>3691.01</v>
      </c>
      <c r="V10" s="44">
        <v>4869.8588294968977</v>
      </c>
      <c r="W10" s="44">
        <f>+V10*(1+$W$8)</f>
        <v>5540.2036801222566</v>
      </c>
      <c r="X10" s="44">
        <f>+V10*(1+$X$8)</f>
        <v>5814.4356644689942</v>
      </c>
      <c r="Z10" s="120"/>
    </row>
    <row r="11" spans="1:26" ht="14.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44">
        <v>1820.3598627096774</v>
      </c>
      <c r="T11" s="44">
        <v>3534.4383359999997</v>
      </c>
      <c r="U11" s="44">
        <v>4392.24</v>
      </c>
      <c r="V11" s="44">
        <v>5795.0503372435869</v>
      </c>
      <c r="W11" s="44">
        <f>+V11*(1+$W$8)</f>
        <v>6592.7494674845584</v>
      </c>
      <c r="X11" s="44">
        <f t="shared" ref="X11:X13" si="0">+V11*(1+$X$8)</f>
        <v>6919.0809298558643</v>
      </c>
      <c r="Z11" s="120"/>
    </row>
    <row r="12" spans="1:26" ht="14.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44">
        <v>1968.1265527741941</v>
      </c>
      <c r="T12" s="44">
        <v>3821.3443840000009</v>
      </c>
      <c r="U12" s="44">
        <v>4748.7700000000004</v>
      </c>
      <c r="V12" s="44">
        <v>6265.450246341783</v>
      </c>
      <c r="W12" s="44">
        <f>+V12*(1+$W$8)</f>
        <v>7127.9007724319827</v>
      </c>
      <c r="X12" s="44">
        <f t="shared" si="0"/>
        <v>7480.7214421961544</v>
      </c>
      <c r="Z12" s="120"/>
    </row>
    <row r="13" spans="1:26" ht="14.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44">
        <v>1178.203555354839</v>
      </c>
      <c r="T13" s="44">
        <v>2287.6179040000002</v>
      </c>
      <c r="U13" s="44">
        <v>2842.82</v>
      </c>
      <c r="V13" s="44">
        <v>3750.7706773133559</v>
      </c>
      <c r="W13" s="44">
        <f>+V13*(1+$W$8)</f>
        <v>4267.0710255255754</v>
      </c>
      <c r="X13" s="44">
        <f t="shared" si="0"/>
        <v>4478.2848043396643</v>
      </c>
      <c r="Z13" s="120"/>
    </row>
    <row r="14" spans="1:26" ht="14.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Z14" s="120"/>
    </row>
    <row r="15" spans="1:26" ht="14.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Z15" s="120"/>
    </row>
    <row r="16" spans="1:26" ht="14.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Z16" s="120"/>
    </row>
    <row r="17" spans="1:26" ht="14.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44">
        <v>2735.1575031290317</v>
      </c>
      <c r="T17" s="44">
        <v>5310.623317999999</v>
      </c>
      <c r="U17" s="44">
        <v>6599.5</v>
      </c>
      <c r="V17" s="44">
        <v>8707.2734414874994</v>
      </c>
      <c r="W17" s="44">
        <f>+V17*(1+$W$8)</f>
        <v>9905.8453341949316</v>
      </c>
      <c r="X17" s="44">
        <f t="shared" ref="X17:X18" si="1">+V17*(1+$X$8)</f>
        <v>10396.170199393426</v>
      </c>
      <c r="Z17" s="120"/>
    </row>
    <row r="18" spans="1:26" ht="14.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44">
        <v>4165.6648218387108</v>
      </c>
      <c r="T18" s="44">
        <v>8088.1180380000014</v>
      </c>
      <c r="U18" s="44">
        <v>10051.1</v>
      </c>
      <c r="V18" s="44">
        <v>13261.25859348966</v>
      </c>
      <c r="W18" s="44">
        <f>+V18*(1+$W$8)</f>
        <v>15086.694755440059</v>
      </c>
      <c r="X18" s="44">
        <f t="shared" si="1"/>
        <v>15833.464094419767</v>
      </c>
      <c r="Z18" s="120"/>
    </row>
    <row r="19" spans="1:26" ht="14.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Z19" s="120"/>
    </row>
    <row r="20" spans="1:26" ht="14.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120"/>
    </row>
    <row r="21" spans="1:26" ht="14.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44">
        <v>360.57636678009681</v>
      </c>
      <c r="T21" s="44">
        <v>700.10054600199999</v>
      </c>
      <c r="U21" s="44">
        <v>870.01</v>
      </c>
      <c r="V21" s="44">
        <v>1147.877106876057</v>
      </c>
      <c r="W21" s="44">
        <f>+V21*(1+$W$8)</f>
        <v>1305.8844608232337</v>
      </c>
      <c r="X21" s="44">
        <f>+V21*(1+$X$8)</f>
        <v>1370.5238328925332</v>
      </c>
      <c r="Z21" s="120"/>
    </row>
    <row r="22" spans="1:26" ht="14.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Z22" s="120"/>
    </row>
    <row r="23" spans="1:26" ht="14.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Z23" s="120"/>
    </row>
    <row r="24" spans="1:26" ht="14.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Z24" s="120"/>
    </row>
    <row r="25" spans="1:26" ht="14.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44">
        <v>2079.2463177096779</v>
      </c>
      <c r="T25" s="44">
        <v>4037.0962060000002</v>
      </c>
      <c r="U25" s="44">
        <v>5016.8999999999996</v>
      </c>
      <c r="V25" s="44">
        <v>6619.2166268048531</v>
      </c>
      <c r="W25" s="44">
        <f>+V25*(1+$W$8)</f>
        <v>7530.363733180171</v>
      </c>
      <c r="X25" s="44">
        <f>+V25*(1+$X$8)</f>
        <v>7903.1057312428011</v>
      </c>
      <c r="Z25" s="120"/>
    </row>
    <row r="26" spans="1:26" ht="14.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44">
        <v>155.72486951612905</v>
      </c>
      <c r="T26" s="44">
        <v>302.35777000000002</v>
      </c>
      <c r="U26" s="44">
        <v>375.74</v>
      </c>
      <c r="V26" s="44">
        <v>495.74527205159677</v>
      </c>
      <c r="W26" s="44">
        <f>+V26*(1+$W$8)</f>
        <v>563.98550282148699</v>
      </c>
      <c r="X26" s="44">
        <f t="shared" ref="X26:X29" si="2">+V26*(1+$X$8)</f>
        <v>591.90196086371475</v>
      </c>
      <c r="Z26" s="120"/>
    </row>
    <row r="27" spans="1:26" ht="14.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44">
        <v>181.17139393548382</v>
      </c>
      <c r="T27" s="44">
        <v>351.76512799999989</v>
      </c>
      <c r="U27" s="44">
        <v>437.14</v>
      </c>
      <c r="V27" s="44">
        <v>576.75543786829985</v>
      </c>
      <c r="W27" s="44">
        <f>+V27*(1+$W$8)</f>
        <v>656.14686406393992</v>
      </c>
      <c r="X27" s="44">
        <f t="shared" si="2"/>
        <v>688.62517478033806</v>
      </c>
      <c r="Z27" s="120"/>
    </row>
    <row r="28" spans="1:26" ht="14.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44">
        <v>219.09555774193552</v>
      </c>
      <c r="T28" s="44">
        <v>425.39926000000003</v>
      </c>
      <c r="U28" s="44">
        <v>528.64</v>
      </c>
      <c r="V28" s="44">
        <v>697.47905630850084</v>
      </c>
      <c r="W28" s="44">
        <f>+V28*(1+$W$8)</f>
        <v>793.4883063063578</v>
      </c>
      <c r="X28" s="44">
        <f t="shared" si="2"/>
        <v>832.76481766911729</v>
      </c>
      <c r="Z28" s="120"/>
    </row>
    <row r="29" spans="1:26" ht="14.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44">
        <v>263.20941667741931</v>
      </c>
      <c r="T29" s="44">
        <v>511.05139799999995</v>
      </c>
      <c r="U29" s="44">
        <v>635.08000000000004</v>
      </c>
      <c r="V29" s="44">
        <v>837.9142688415609</v>
      </c>
      <c r="W29" s="44">
        <f>+V29*(1+$W$8)</f>
        <v>953.25467911819328</v>
      </c>
      <c r="X29" s="44">
        <f t="shared" si="2"/>
        <v>1000.4393924131792</v>
      </c>
      <c r="Z29" s="120"/>
    </row>
    <row r="30" spans="1:26" ht="14.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Z30" s="120"/>
    </row>
    <row r="31" spans="1:26" ht="14.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Z31" s="120"/>
    </row>
    <row r="32" spans="1:26" ht="14.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44">
        <v>130.67134161290323</v>
      </c>
      <c r="T32" s="44">
        <v>253.71346</v>
      </c>
      <c r="U32" s="44">
        <v>315.27999999999997</v>
      </c>
      <c r="V32" s="44">
        <v>415.97532701449785</v>
      </c>
      <c r="W32" s="44">
        <f>+V32*(1+$W$8)</f>
        <v>473.23508098567731</v>
      </c>
      <c r="X32" s="44">
        <f t="shared" ref="X32:X33" si="3">+V32*(1+$X$8)</f>
        <v>496.65952579206891</v>
      </c>
      <c r="Z32" s="120"/>
    </row>
    <row r="33" spans="1:26" ht="14.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44">
        <v>98435.212882645181</v>
      </c>
      <c r="T33" s="44">
        <v>191123.30322800003</v>
      </c>
      <c r="U33" s="44">
        <v>237508.92</v>
      </c>
      <c r="V33" s="44">
        <v>313365.42332485481</v>
      </c>
      <c r="W33" s="44">
        <f>+V33*(1+$W$8)</f>
        <v>356500.73899714788</v>
      </c>
      <c r="X33" s="44">
        <f t="shared" si="3"/>
        <v>374147.00449944951</v>
      </c>
      <c r="Z33" s="120"/>
    </row>
    <row r="34" spans="1:26" ht="14.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Z34" s="120"/>
    </row>
    <row r="35" spans="1:26" ht="14.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Z35" s="120"/>
    </row>
    <row r="36" spans="1:26" ht="14.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44">
        <v>4540.1458937979669</v>
      </c>
      <c r="T36" s="44">
        <v>7718.2439734494919</v>
      </c>
      <c r="U36" s="44">
        <v>9591.4500000000007</v>
      </c>
      <c r="V36" s="44">
        <v>12654.803826101263</v>
      </c>
      <c r="W36" s="44">
        <f>+V36*(1+$X$8)</f>
        <v>15109.378992192147</v>
      </c>
      <c r="X36" s="44">
        <f>+V36*(1+$X$8)</f>
        <v>15109.378992192147</v>
      </c>
      <c r="Z36" s="120"/>
    </row>
    <row r="37" spans="1:26" ht="14.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44">
        <v>9026.8625719999982</v>
      </c>
      <c r="T37" s="44">
        <v>15345.658327999998</v>
      </c>
      <c r="U37" s="44">
        <v>19070.05</v>
      </c>
      <c r="V37" s="44">
        <v>25160.715189459606</v>
      </c>
      <c r="W37" s="44">
        <f>+V37*(1+$X$8)</f>
        <v>30040.985758154795</v>
      </c>
      <c r="X37" s="44">
        <f>+V37*(1+$X$8)</f>
        <v>30040.985758154795</v>
      </c>
      <c r="Z37" s="120"/>
    </row>
    <row r="38" spans="1:26" ht="14.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Z38" s="120"/>
    </row>
    <row r="39" spans="1:26" ht="14.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Z39" s="120"/>
    </row>
    <row r="40" spans="1:26" ht="14.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44">
        <v>572.89067138709686</v>
      </c>
      <c r="T40" s="44">
        <v>1112.3332220000002</v>
      </c>
      <c r="U40" s="44">
        <v>1382.29</v>
      </c>
      <c r="V40" s="44">
        <v>1823.7710440842116</v>
      </c>
      <c r="W40" s="44">
        <f>+V40*(1+$W$8)</f>
        <v>2074.8164174565209</v>
      </c>
      <c r="X40" s="44">
        <f>+V40*(1+$X$8)</f>
        <v>2177.5167974724654</v>
      </c>
      <c r="Z40" s="120"/>
    </row>
    <row r="41" spans="1:26" ht="14.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6" ht="15" thickBot="1" x14ac:dyDescent="0.35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6" ht="13.8" thickTop="1" x14ac:dyDescent="0.25"/>
  </sheetData>
  <sheetProtection selectLockedCells="1" selectUnlockedCells="1"/>
  <mergeCells count="1">
    <mergeCell ref="A6:B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C676-1C7B-4048-B0F9-E6D9E6C95BEC}">
  <sheetPr>
    <pageSetUpPr fitToPage="1"/>
  </sheetPr>
  <dimension ref="A1:P42"/>
  <sheetViews>
    <sheetView topLeftCell="C1" workbookViewId="0">
      <selection activeCell="O8" sqref="O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4" width="24.6640625" style="1" customWidth="1"/>
    <col min="15" max="15" width="21.33203125" style="1" customWidth="1"/>
    <col min="16" max="16384" width="10.6640625" style="1"/>
  </cols>
  <sheetData>
    <row r="1" spans="1:16" x14ac:dyDescent="0.3">
      <c r="N1" s="3" t="s">
        <v>0</v>
      </c>
    </row>
    <row r="2" spans="1:16" x14ac:dyDescent="0.3"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">
      <c r="A3" s="5" t="s">
        <v>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5" spans="1:16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57" t="s">
        <v>9</v>
      </c>
    </row>
    <row r="6" spans="1:16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59" t="s">
        <v>29</v>
      </c>
    </row>
    <row r="7" spans="1:16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60" t="s">
        <v>44</v>
      </c>
    </row>
    <row r="8" spans="1:16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9">
        <f>O8*31/31</f>
        <v>0.15620157898620235</v>
      </c>
      <c r="O8" s="70">
        <f>(3.134/2.7106)-1</f>
        <v>0.15620157898620235</v>
      </c>
    </row>
    <row r="9" spans="1:16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71"/>
    </row>
    <row r="10" spans="1:16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72">
        <f>+M10*(1+O$8)</f>
        <v>487.96379999999999</v>
      </c>
      <c r="O10" s="76"/>
      <c r="P10" s="70"/>
    </row>
    <row r="11" spans="1:16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72">
        <f>+M11*(1+O$8)</f>
        <v>580.66751999999985</v>
      </c>
      <c r="O11" s="76"/>
      <c r="P11" s="70"/>
    </row>
    <row r="12" spans="1:16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72">
        <f>+M12*(1+O$8)</f>
        <v>627.80288000000007</v>
      </c>
      <c r="O12" s="76"/>
      <c r="P12" s="70"/>
    </row>
    <row r="13" spans="1:16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72">
        <f>+M13*(1+O$8)</f>
        <v>375.82927999999998</v>
      </c>
      <c r="O13" s="76"/>
      <c r="P13" s="70"/>
    </row>
    <row r="14" spans="1:16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72"/>
      <c r="P14" s="70"/>
    </row>
    <row r="15" spans="1:16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72"/>
      <c r="P15" s="70"/>
    </row>
    <row r="16" spans="1:16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72"/>
      <c r="P16" s="70"/>
    </row>
    <row r="17" spans="1:16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72">
        <f>+M17*(1+O$8)</f>
        <v>872.47425999999973</v>
      </c>
      <c r="O17" s="76"/>
      <c r="P17" s="70"/>
    </row>
    <row r="18" spans="1:16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72">
        <f>+M18*(1+O$8)</f>
        <v>1328.78466</v>
      </c>
      <c r="O18" s="76"/>
      <c r="P18" s="70"/>
    </row>
    <row r="19" spans="1:16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72"/>
      <c r="P19" s="70"/>
    </row>
    <row r="20" spans="1:16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72"/>
      <c r="P20" s="70"/>
    </row>
    <row r="21" spans="1:16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72">
        <f>+M21*(1+O$8)</f>
        <v>115.01845813999998</v>
      </c>
      <c r="O21" s="76"/>
      <c r="P21" s="70"/>
    </row>
    <row r="22" spans="1:16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72"/>
      <c r="P22" s="70"/>
    </row>
    <row r="23" spans="1:16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72"/>
      <c r="P23" s="70"/>
    </row>
    <row r="24" spans="1:16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72"/>
      <c r="P24" s="70"/>
    </row>
    <row r="25" spans="1:16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72">
        <f>+M25*(1+O$8)</f>
        <v>663.2484199999999</v>
      </c>
      <c r="O25" s="76"/>
      <c r="P25" s="70"/>
    </row>
    <row r="26" spans="1:16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72">
        <f>+M26*(1+O$8)</f>
        <v>49.673899999999996</v>
      </c>
      <c r="O26" s="76"/>
      <c r="P26" s="70"/>
    </row>
    <row r="27" spans="1:16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72">
        <f>+M27*(1+O$8)</f>
        <v>57.790959999999984</v>
      </c>
      <c r="O27" s="76"/>
      <c r="P27" s="70"/>
    </row>
    <row r="28" spans="1:16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72">
        <f>+M28*(1+O$8)</f>
        <v>69.888199999999998</v>
      </c>
      <c r="O28" s="76"/>
      <c r="P28" s="70"/>
    </row>
    <row r="29" spans="1:16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72">
        <f>+M29*(1+O$8)</f>
        <v>83.959859999999978</v>
      </c>
      <c r="O29" s="76"/>
      <c r="P29" s="70"/>
    </row>
    <row r="30" spans="1:16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72"/>
      <c r="P30" s="70"/>
    </row>
    <row r="31" spans="1:16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72"/>
      <c r="P31" s="70"/>
    </row>
    <row r="32" spans="1:16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72">
        <f>+M32*(1+O$8)</f>
        <v>41.682199999999995</v>
      </c>
      <c r="O32" s="76"/>
      <c r="P32" s="70"/>
    </row>
    <row r="33" spans="1:16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72">
        <f>+M33*(1+O$8)</f>
        <v>31399.357960000001</v>
      </c>
      <c r="O33" s="76"/>
      <c r="P33" s="70"/>
    </row>
    <row r="34" spans="1:16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72"/>
      <c r="P34" s="70"/>
    </row>
    <row r="35" spans="1:16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72"/>
      <c r="P35" s="70"/>
    </row>
    <row r="36" spans="1:16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72">
        <f>+M36*(1+O$8)</f>
        <v>1268.0186102468367</v>
      </c>
      <c r="O36" s="76"/>
      <c r="P36" s="70"/>
    </row>
    <row r="37" spans="1:16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72">
        <f>+M37*(1+O$8)</f>
        <v>2521.1149599999999</v>
      </c>
      <c r="O37" s="76"/>
      <c r="P37" s="70"/>
    </row>
    <row r="38" spans="1:16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72"/>
      <c r="O38" s="76"/>
      <c r="P38" s="70"/>
    </row>
    <row r="39" spans="1:16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72"/>
      <c r="O39" s="76"/>
      <c r="P39" s="70"/>
    </row>
    <row r="40" spans="1:16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72">
        <f>+M40*(1+O$8)</f>
        <v>182.74354</v>
      </c>
      <c r="O40" s="76"/>
      <c r="P40" s="70"/>
    </row>
    <row r="41" spans="1:16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72"/>
      <c r="O41" s="76"/>
      <c r="P41" s="85"/>
    </row>
    <row r="42" spans="1:16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0538-082C-4E9C-A3E0-B0DB84D7157B}">
  <sheetPr>
    <pageSetUpPr fitToPage="1"/>
  </sheetPr>
  <dimension ref="A1:O42"/>
  <sheetViews>
    <sheetView workbookViewId="0">
      <selection activeCell="M10" sqref="M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3" width="24.6640625" style="1" customWidth="1"/>
    <col min="14" max="14" width="21.33203125" style="1" customWidth="1"/>
    <col min="15" max="16384" width="10.6640625" style="1"/>
  </cols>
  <sheetData>
    <row r="1" spans="1:15" x14ac:dyDescent="0.3">
      <c r="M1" s="3" t="s">
        <v>0</v>
      </c>
    </row>
    <row r="2" spans="1:15" x14ac:dyDescent="0.3">
      <c r="E2" s="4"/>
      <c r="F2" s="4"/>
      <c r="G2" s="4"/>
      <c r="H2" s="4"/>
      <c r="I2" s="4"/>
      <c r="J2" s="4"/>
      <c r="K2" s="4"/>
      <c r="L2" s="4"/>
      <c r="M2" s="4"/>
    </row>
    <row r="3" spans="1:15" x14ac:dyDescent="0.3">
      <c r="A3" s="5" t="s">
        <v>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5" spans="1:15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57" t="s">
        <v>8</v>
      </c>
    </row>
    <row r="6" spans="1:15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59" t="s">
        <v>28</v>
      </c>
    </row>
    <row r="7" spans="1:15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60" t="s">
        <v>43</v>
      </c>
    </row>
    <row r="8" spans="1:15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5">
        <v>0.13259408917915702</v>
      </c>
      <c r="M8" s="69">
        <f>N8*31/31</f>
        <v>0.12449699232524368</v>
      </c>
      <c r="N8" s="70">
        <f>(2.7106/2.4105)-1</f>
        <v>0.12449699232524369</v>
      </c>
    </row>
    <row r="9" spans="1:15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71"/>
    </row>
    <row r="10" spans="1:15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72">
        <f>+L10*(1+N$8)</f>
        <v>422.04041999999998</v>
      </c>
      <c r="N10" s="76"/>
      <c r="O10" s="70"/>
    </row>
    <row r="11" spans="1:15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72">
        <f>+L11*(1+N$8)</f>
        <v>502.21996799999982</v>
      </c>
      <c r="N11" s="76"/>
      <c r="O11" s="70"/>
    </row>
    <row r="12" spans="1:15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72">
        <f>+L12*(1+N$8)</f>
        <v>542.987392</v>
      </c>
      <c r="N12" s="76"/>
      <c r="O12" s="70"/>
    </row>
    <row r="13" spans="1:15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72">
        <f>+L13*(1+N$8)</f>
        <v>325.05515199999996</v>
      </c>
      <c r="N13" s="76"/>
      <c r="O13" s="70"/>
    </row>
    <row r="14" spans="1:15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72"/>
      <c r="O14" s="70"/>
    </row>
    <row r="15" spans="1:15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72"/>
      <c r="O15" s="70"/>
    </row>
    <row r="16" spans="1:15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72"/>
      <c r="O16" s="70"/>
    </row>
    <row r="17" spans="1:15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72">
        <f>+L17*(1+N$8)</f>
        <v>754.60393399999975</v>
      </c>
      <c r="N17" s="76"/>
      <c r="O17" s="70"/>
    </row>
    <row r="18" spans="1:15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72">
        <f>+L18*(1+N$8)</f>
        <v>1149.267294</v>
      </c>
      <c r="N18" s="76"/>
      <c r="O18" s="70"/>
    </row>
    <row r="19" spans="1:15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72"/>
      <c r="O19" s="70"/>
    </row>
    <row r="20" spans="1:15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72"/>
      <c r="O20" s="70"/>
    </row>
    <row r="21" spans="1:15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72">
        <f>+L21*(1+N$8)</f>
        <v>99.479589225999973</v>
      </c>
      <c r="N21" s="76"/>
      <c r="O21" s="70"/>
    </row>
    <row r="22" spans="1:15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72"/>
      <c r="O22" s="70"/>
    </row>
    <row r="23" spans="1:15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72"/>
      <c r="O23" s="70"/>
    </row>
    <row r="24" spans="1:15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72"/>
      <c r="O24" s="70"/>
    </row>
    <row r="25" spans="1:15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72">
        <f>+L25*(1+N$8)</f>
        <v>573.64427799999987</v>
      </c>
      <c r="N25" s="76"/>
      <c r="O25" s="70"/>
    </row>
    <row r="26" spans="1:15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72">
        <f>+L26*(1+N$8)</f>
        <v>42.963009999999997</v>
      </c>
      <c r="N26" s="76"/>
      <c r="O26" s="70"/>
    </row>
    <row r="27" spans="1:15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72">
        <f>+L27*(1+N$8)</f>
        <v>49.983463999999984</v>
      </c>
      <c r="N27" s="76"/>
      <c r="O27" s="70"/>
    </row>
    <row r="28" spans="1:15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72">
        <f>+L28*(1+N$8)</f>
        <v>60.446379999999991</v>
      </c>
      <c r="N28" s="76"/>
      <c r="O28" s="70"/>
    </row>
    <row r="29" spans="1:15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72">
        <f>+L29*(1+N$8)</f>
        <v>72.616973999999985</v>
      </c>
      <c r="N29" s="76"/>
      <c r="O29" s="70"/>
    </row>
    <row r="30" spans="1:15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72"/>
      <c r="O30" s="70"/>
    </row>
    <row r="31" spans="1:15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72"/>
      <c r="O31" s="70"/>
    </row>
    <row r="32" spans="1:15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72">
        <f>+L32*(1+N$8)</f>
        <v>36.050979999999996</v>
      </c>
      <c r="N32" s="76"/>
      <c r="O32" s="70"/>
    </row>
    <row r="33" spans="1:15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72">
        <f>+L33*(1+N$8)</f>
        <v>27157.338764</v>
      </c>
      <c r="N33" s="76"/>
      <c r="O33" s="70"/>
    </row>
    <row r="34" spans="1:15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72"/>
      <c r="O34" s="70"/>
    </row>
    <row r="35" spans="1:15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72"/>
      <c r="O35" s="70"/>
    </row>
    <row r="36" spans="1:15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72">
        <f>+L36*(1+N$8)</f>
        <v>1096.7106716448868</v>
      </c>
      <c r="N36" s="76"/>
      <c r="O36" s="70"/>
    </row>
    <row r="37" spans="1:15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72">
        <f>+L37*(1+N$8)</f>
        <v>2180.5150639999997</v>
      </c>
      <c r="N37" s="76"/>
      <c r="O37" s="70"/>
    </row>
    <row r="38" spans="1:15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72"/>
      <c r="N38" s="76"/>
      <c r="O38" s="70"/>
    </row>
    <row r="39" spans="1:15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72"/>
      <c r="N39" s="76"/>
      <c r="O39" s="70"/>
    </row>
    <row r="40" spans="1:15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72">
        <f>+L40*(1+N$8)</f>
        <v>158.05508599999999</v>
      </c>
      <c r="N40" s="76"/>
      <c r="O40" s="70"/>
    </row>
    <row r="41" spans="1:15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72"/>
      <c r="N41" s="76"/>
      <c r="O41" s="85"/>
    </row>
    <row r="42" spans="1:15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8AD1-7438-45CC-8B7E-F1CA960E11E9}">
  <sheetPr>
    <pageSetUpPr fitToPage="1"/>
  </sheetPr>
  <dimension ref="A1:N42"/>
  <sheetViews>
    <sheetView topLeftCell="F15" workbookViewId="0">
      <selection activeCell="L17" sqref="L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2" width="24.6640625" style="1" customWidth="1"/>
    <col min="13" max="13" width="21.33203125" style="1" customWidth="1"/>
    <col min="14" max="16384" width="10.6640625" style="1"/>
  </cols>
  <sheetData>
    <row r="1" spans="1:14" x14ac:dyDescent="0.3">
      <c r="L1" s="3" t="s">
        <v>0</v>
      </c>
    </row>
    <row r="2" spans="1:14" x14ac:dyDescent="0.3">
      <c r="E2" s="4"/>
      <c r="F2" s="4"/>
      <c r="G2" s="4"/>
      <c r="H2" s="4"/>
      <c r="I2" s="4"/>
      <c r="J2" s="4"/>
      <c r="K2" s="4"/>
      <c r="L2" s="4"/>
    </row>
    <row r="3" spans="1:14" x14ac:dyDescent="0.3">
      <c r="A3" s="5" t="s">
        <v>95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5" spans="1:14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57" t="s">
        <v>7</v>
      </c>
    </row>
    <row r="6" spans="1:14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59" t="s">
        <v>27</v>
      </c>
    </row>
    <row r="7" spans="1:14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60" t="s">
        <v>42</v>
      </c>
    </row>
    <row r="8" spans="1:14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9">
        <f>M8*31/31</f>
        <v>0.13259408917915702</v>
      </c>
      <c r="M8" s="70">
        <f>(2.4105/2.1283)-1</f>
        <v>0.13259408917915705</v>
      </c>
    </row>
    <row r="9" spans="1:1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71"/>
    </row>
    <row r="10" spans="1:1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72">
        <f>+K10*(1+L$8)</f>
        <v>375.31484999999998</v>
      </c>
      <c r="M10" s="76"/>
      <c r="N10" s="85"/>
    </row>
    <row r="11" spans="1:1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72">
        <f>+K11*(1+L$8)</f>
        <v>446.61743999999987</v>
      </c>
      <c r="M11" s="76"/>
      <c r="N11" s="85"/>
    </row>
    <row r="12" spans="1:1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72">
        <f>+K12*(1+L$8)</f>
        <v>482.87135999999998</v>
      </c>
      <c r="M12" s="76"/>
      <c r="N12" s="85"/>
    </row>
    <row r="13" spans="1:1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72">
        <f>+K13*(1+L$8)</f>
        <v>289.06716</v>
      </c>
      <c r="M13" s="76"/>
      <c r="N13" s="85"/>
    </row>
    <row r="14" spans="1:1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72"/>
      <c r="N14" s="85"/>
    </row>
    <row r="15" spans="1:1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72"/>
      <c r="N15" s="85"/>
    </row>
    <row r="16" spans="1:1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72"/>
      <c r="N16" s="85"/>
    </row>
    <row r="17" spans="1:1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72">
        <f>+K17*(1+L$8)</f>
        <v>671.05909499999984</v>
      </c>
      <c r="M17" s="76"/>
      <c r="N17" s="85"/>
    </row>
    <row r="18" spans="1:1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72">
        <f>+K18*(1+L$8)</f>
        <v>1022.0278950000001</v>
      </c>
      <c r="M18" s="76"/>
      <c r="N18" s="85"/>
    </row>
    <row r="19" spans="1:1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72"/>
      <c r="N19" s="85"/>
    </row>
    <row r="20" spans="1:1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72"/>
      <c r="N20" s="85"/>
    </row>
    <row r="21" spans="1:1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72">
        <f>+K21*(1+L$8)</f>
        <v>88.46585620499998</v>
      </c>
      <c r="M21" s="76"/>
      <c r="N21" s="85"/>
    </row>
    <row r="22" spans="1:1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72"/>
      <c r="N22" s="85"/>
    </row>
    <row r="23" spans="1:1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72"/>
      <c r="N23" s="85"/>
    </row>
    <row r="24" spans="1:1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72"/>
      <c r="N24" s="85"/>
    </row>
    <row r="25" spans="1:1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72">
        <f>+K25*(1+L$8)</f>
        <v>510.13411499999989</v>
      </c>
      <c r="M25" s="76"/>
      <c r="N25" s="85"/>
    </row>
    <row r="26" spans="1:1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72">
        <f>+K26*(1+L$8)</f>
        <v>38.206424999999996</v>
      </c>
      <c r="M26" s="76"/>
      <c r="N26" s="85"/>
    </row>
    <row r="27" spans="1:1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72">
        <f>+K27*(1+L$8)</f>
        <v>44.449619999999989</v>
      </c>
      <c r="M27" s="76"/>
      <c r="N27" s="85"/>
    </row>
    <row r="28" spans="1:1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72">
        <f>+K28*(1+L$8)</f>
        <v>53.754149999999996</v>
      </c>
      <c r="M28" s="76"/>
      <c r="N28" s="85"/>
    </row>
    <row r="29" spans="1:1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72">
        <f>+K29*(1+L$8)</f>
        <v>64.577294999999992</v>
      </c>
      <c r="M29" s="76"/>
      <c r="N29" s="85"/>
    </row>
    <row r="30" spans="1:1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72"/>
      <c r="N30" s="85"/>
    </row>
    <row r="31" spans="1:1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72"/>
      <c r="N31" s="85"/>
    </row>
    <row r="32" spans="1:1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72">
        <f>+K32*(1+L$8)</f>
        <v>32.059649999999998</v>
      </c>
      <c r="M32" s="76"/>
      <c r="N32" s="85"/>
    </row>
    <row r="33" spans="1:1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72">
        <f>+K33*(1+L$8)</f>
        <v>24150.654870000002</v>
      </c>
      <c r="M33" s="76"/>
      <c r="N33" s="85"/>
    </row>
    <row r="34" spans="1:1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72"/>
      <c r="N34" s="85"/>
    </row>
    <row r="35" spans="1:1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72"/>
      <c r="N35" s="85"/>
    </row>
    <row r="36" spans="1:1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72">
        <f>+K36*(1+L$8)</f>
        <v>975.28830000000005</v>
      </c>
      <c r="M36" s="76"/>
      <c r="N36" s="85"/>
    </row>
    <row r="37" spans="1:1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72">
        <f>+K37*(1+L$8)</f>
        <v>1939.1026199999999</v>
      </c>
      <c r="M37" s="76"/>
      <c r="N37" s="85"/>
    </row>
    <row r="38" spans="1:1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72"/>
      <c r="M38" s="76"/>
      <c r="N38" s="85"/>
    </row>
    <row r="39" spans="1:1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72"/>
      <c r="M39" s="76"/>
      <c r="N39" s="85"/>
    </row>
    <row r="40" spans="1:1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72">
        <f>+K40*(1+L$8)</f>
        <v>140.55625499999999</v>
      </c>
      <c r="M40" s="76"/>
      <c r="N40" s="85"/>
    </row>
    <row r="41" spans="1:1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72"/>
      <c r="M41" s="76"/>
      <c r="N41" s="85"/>
    </row>
    <row r="42" spans="1:14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BE99-62E8-4BE2-A3D4-9DD62DAFEBF1}">
  <sheetPr>
    <pageSetUpPr fitToPage="1"/>
  </sheetPr>
  <dimension ref="A1:M42"/>
  <sheetViews>
    <sheetView topLeftCell="C1" workbookViewId="0">
      <selection activeCell="K17" sqref="K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1" width="24.6640625" style="1" customWidth="1"/>
    <col min="12" max="12" width="21.33203125" style="1" customWidth="1"/>
    <col min="13" max="16384" width="10.6640625" style="1"/>
  </cols>
  <sheetData>
    <row r="1" spans="1:13" x14ac:dyDescent="0.3">
      <c r="K1" s="3" t="s">
        <v>0</v>
      </c>
    </row>
    <row r="2" spans="1:13" x14ac:dyDescent="0.3">
      <c r="E2" s="4"/>
      <c r="F2" s="4"/>
      <c r="G2" s="4"/>
      <c r="H2" s="4"/>
      <c r="I2" s="4"/>
      <c r="J2" s="4"/>
      <c r="K2" s="4"/>
    </row>
    <row r="3" spans="1:13" x14ac:dyDescent="0.3">
      <c r="A3" s="5" t="s">
        <v>96</v>
      </c>
      <c r="B3" s="5"/>
      <c r="C3" s="5"/>
      <c r="D3" s="5"/>
      <c r="E3" s="5"/>
      <c r="F3" s="5"/>
      <c r="G3" s="5"/>
      <c r="H3" s="5"/>
      <c r="I3" s="5"/>
      <c r="J3" s="5"/>
      <c r="K3" s="6"/>
    </row>
    <row r="5" spans="1:13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11" t="s">
        <v>4</v>
      </c>
      <c r="H5" s="9" t="s">
        <v>4</v>
      </c>
      <c r="I5" s="11" t="s">
        <v>5</v>
      </c>
      <c r="J5" s="9" t="s">
        <v>5</v>
      </c>
      <c r="K5" s="86" t="s">
        <v>6</v>
      </c>
    </row>
    <row r="6" spans="1:13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25</v>
      </c>
      <c r="K6" s="87" t="s">
        <v>26</v>
      </c>
    </row>
    <row r="7" spans="1:13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88" t="s">
        <v>38</v>
      </c>
      <c r="H7" s="88" t="s">
        <v>39</v>
      </c>
      <c r="I7" s="88" t="s">
        <v>40</v>
      </c>
      <c r="J7" s="88" t="s">
        <v>39</v>
      </c>
      <c r="K7" s="89" t="s">
        <v>41</v>
      </c>
    </row>
    <row r="8" spans="1:13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v>0.12872372116775888</v>
      </c>
      <c r="H8" s="90">
        <v>0.33253627968337712</v>
      </c>
      <c r="I8" s="65">
        <v>7.1113053927116393E-2</v>
      </c>
      <c r="J8" s="90">
        <v>9.5848029206113503E-2</v>
      </c>
      <c r="K8" s="91">
        <f>L8*31/31</f>
        <v>0.20175042348955396</v>
      </c>
      <c r="L8" s="1">
        <f>(2.1283/1.771)-1</f>
        <v>0.20175042348955396</v>
      </c>
    </row>
    <row r="9" spans="1:13" x14ac:dyDescent="0.3">
      <c r="A9" s="34" t="s">
        <v>53</v>
      </c>
      <c r="B9" s="35"/>
      <c r="C9" s="36"/>
      <c r="D9" s="36"/>
      <c r="E9" s="36"/>
      <c r="F9" s="37"/>
      <c r="G9" s="37"/>
      <c r="H9" s="37"/>
      <c r="I9" s="37"/>
      <c r="J9" s="37"/>
      <c r="K9" s="92"/>
    </row>
    <row r="10" spans="1:13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93">
        <f>+F10*(1+G$8)</f>
        <v>213.14024129032256</v>
      </c>
      <c r="H10" s="93">
        <f>+F10*(1+H$8)</f>
        <v>251.62676999999996</v>
      </c>
      <c r="I10" s="93">
        <f>+H10*(1+I$8)</f>
        <v>269.52071806451607</v>
      </c>
      <c r="J10" s="93">
        <f>+H10*(1+J$8)</f>
        <v>275.74469999999997</v>
      </c>
      <c r="K10" s="94">
        <f>+J10*(1+K$8)</f>
        <v>331.37630999999999</v>
      </c>
      <c r="L10" s="76"/>
      <c r="M10" s="85"/>
    </row>
    <row r="11" spans="1:13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93">
        <f>+F11*(1+G$8)</f>
        <v>253.63278038709677</v>
      </c>
      <c r="H11" s="93">
        <f>+F11*(1+H$8)</f>
        <v>299.43100799999996</v>
      </c>
      <c r="I11" s="93">
        <f>+H11*(1+I$8)</f>
        <v>320.72446141935478</v>
      </c>
      <c r="J11" s="93">
        <f>+H11*(1+J$8)</f>
        <v>328.13087999999993</v>
      </c>
      <c r="K11" s="94">
        <f>+J11*(1+K$8)</f>
        <v>394.33142399999991</v>
      </c>
      <c r="L11" s="76"/>
      <c r="M11" s="85"/>
    </row>
    <row r="12" spans="1:13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93">
        <f>+F12*(1+G$8)</f>
        <v>274.22127896774191</v>
      </c>
      <c r="H12" s="93">
        <f>+F12*(1+H$8)</f>
        <v>323.73715199999998</v>
      </c>
      <c r="I12" s="93">
        <f>+H12*(1+I$8)</f>
        <v>346.75908954838701</v>
      </c>
      <c r="J12" s="93">
        <f>+H12*(1+J$8)</f>
        <v>354.76671999999996</v>
      </c>
      <c r="K12" s="94">
        <f>+J12*(1+K$8)</f>
        <v>426.34105599999998</v>
      </c>
      <c r="L12" s="76"/>
      <c r="M12" s="85"/>
    </row>
    <row r="13" spans="1:13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93">
        <f>+F13*(1+G$8)</f>
        <v>164.16042219354838</v>
      </c>
      <c r="H13" s="93">
        <f>+F13*(1+H$8)</f>
        <v>193.80271199999999</v>
      </c>
      <c r="I13" s="93">
        <f>+H13*(1+I$8)</f>
        <v>207.58461470967737</v>
      </c>
      <c r="J13" s="93">
        <f>+H13*(1+J$8)</f>
        <v>212.37831999999997</v>
      </c>
      <c r="K13" s="94">
        <f>+J13*(1+K$8)</f>
        <v>255.22573599999998</v>
      </c>
      <c r="L13" s="76"/>
      <c r="M13" s="85"/>
    </row>
    <row r="14" spans="1:13" x14ac:dyDescent="0.3">
      <c r="A14" s="39"/>
      <c r="B14" s="40"/>
      <c r="C14" s="41"/>
      <c r="D14" s="42"/>
      <c r="E14" s="43"/>
      <c r="F14" s="37"/>
      <c r="G14" s="37"/>
      <c r="H14" s="93"/>
      <c r="I14" s="37"/>
      <c r="J14" s="93"/>
      <c r="K14" s="94"/>
      <c r="M14" s="85"/>
    </row>
    <row r="15" spans="1:13" x14ac:dyDescent="0.3">
      <c r="A15" s="39"/>
      <c r="B15" s="40"/>
      <c r="C15" s="36"/>
      <c r="D15" s="42"/>
      <c r="E15" s="43"/>
      <c r="F15" s="37"/>
      <c r="G15" s="37"/>
      <c r="H15" s="93"/>
      <c r="I15" s="37"/>
      <c r="J15" s="93"/>
      <c r="K15" s="94"/>
      <c r="M15" s="85"/>
    </row>
    <row r="16" spans="1:13" x14ac:dyDescent="0.3">
      <c r="A16" s="34" t="s">
        <v>59</v>
      </c>
      <c r="B16" s="35"/>
      <c r="C16" s="48"/>
      <c r="D16" s="42"/>
      <c r="E16" s="43"/>
      <c r="F16" s="37"/>
      <c r="G16" s="37"/>
      <c r="H16" s="93"/>
      <c r="I16" s="37"/>
      <c r="J16" s="93"/>
      <c r="K16" s="94"/>
      <c r="M16" s="85"/>
    </row>
    <row r="17" spans="1:13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93">
        <f>+F17*(1+G$8)</f>
        <v>381.09256116129029</v>
      </c>
      <c r="H17" s="93">
        <f>+F17*(1+H$8)</f>
        <v>449.90607899999992</v>
      </c>
      <c r="I17" s="93">
        <f>+H17*(1+I$8)</f>
        <v>481.90027425806437</v>
      </c>
      <c r="J17" s="93">
        <f>+H17*(1+J$8)</f>
        <v>493.02868999999993</v>
      </c>
      <c r="K17" s="94">
        <f>+J17*(1+K$8)</f>
        <v>592.49743699999988</v>
      </c>
      <c r="L17" s="76"/>
      <c r="M17" s="85"/>
    </row>
    <row r="18" spans="1:13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93">
        <f>+F18*(1+G$8)</f>
        <v>580.4067495483871</v>
      </c>
      <c r="H18" s="93">
        <f>+F18*(1+H$8)</f>
        <v>685.210239</v>
      </c>
      <c r="I18" s="93">
        <f>+H18*(1+I$8)</f>
        <v>733.93763167741929</v>
      </c>
      <c r="J18" s="93">
        <f>+H18*(1+J$8)</f>
        <v>750.88629000000003</v>
      </c>
      <c r="K18" s="94">
        <f>+J18*(1+K$8)</f>
        <v>902.37791700000002</v>
      </c>
      <c r="L18" s="76"/>
      <c r="M18" s="85"/>
    </row>
    <row r="19" spans="1:13" x14ac:dyDescent="0.3">
      <c r="A19" s="39"/>
      <c r="B19" s="40"/>
      <c r="C19" s="36"/>
      <c r="D19" s="42"/>
      <c r="E19" s="43"/>
      <c r="F19" s="37"/>
      <c r="G19" s="37"/>
      <c r="H19" s="93"/>
      <c r="I19" s="37"/>
      <c r="J19" s="93"/>
      <c r="K19" s="94"/>
      <c r="M19" s="85"/>
    </row>
    <row r="20" spans="1:13" x14ac:dyDescent="0.3">
      <c r="A20" s="39"/>
      <c r="B20" s="40"/>
      <c r="C20" s="36"/>
      <c r="D20" s="42"/>
      <c r="E20" s="43"/>
      <c r="F20" s="37"/>
      <c r="G20" s="37"/>
      <c r="H20" s="93"/>
      <c r="I20" s="37"/>
      <c r="J20" s="93"/>
      <c r="K20" s="94"/>
      <c r="M20" s="85"/>
    </row>
    <row r="21" spans="1:13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93">
        <f>+F21*(1+G$8)</f>
        <v>50.239509407870955</v>
      </c>
      <c r="H21" s="93">
        <f>+F21*(1+H$8)</f>
        <v>59.311209380999983</v>
      </c>
      <c r="I21" s="93">
        <f>+H21*(1+I$8)</f>
        <v>63.529010612193524</v>
      </c>
      <c r="J21" s="93">
        <f>+H21*(1+J$8)</f>
        <v>64.996071909999984</v>
      </c>
      <c r="K21" s="94">
        <f>+J21*(1+K$8)</f>
        <v>78.109056942999985</v>
      </c>
      <c r="L21" s="76"/>
      <c r="M21" s="85"/>
    </row>
    <row r="22" spans="1:13" x14ac:dyDescent="0.3">
      <c r="A22" s="39"/>
      <c r="B22" s="40"/>
      <c r="C22" s="36"/>
      <c r="D22" s="42"/>
      <c r="E22" s="43"/>
      <c r="F22" s="37"/>
      <c r="G22" s="37"/>
      <c r="H22" s="93"/>
      <c r="I22" s="37"/>
      <c r="J22" s="93"/>
      <c r="K22" s="94"/>
      <c r="M22" s="85"/>
    </row>
    <row r="23" spans="1:13" x14ac:dyDescent="0.3">
      <c r="A23" s="39"/>
      <c r="B23" s="40"/>
      <c r="C23" s="36"/>
      <c r="D23" s="42"/>
      <c r="E23" s="43"/>
      <c r="F23" s="37"/>
      <c r="G23" s="37"/>
      <c r="H23" s="93"/>
      <c r="I23" s="37"/>
      <c r="J23" s="93"/>
      <c r="K23" s="94"/>
      <c r="M23" s="85"/>
    </row>
    <row r="24" spans="1:13" x14ac:dyDescent="0.3">
      <c r="A24" s="34" t="s">
        <v>63</v>
      </c>
      <c r="B24" s="35"/>
      <c r="C24" s="36"/>
      <c r="D24" s="42"/>
      <c r="E24" s="43"/>
      <c r="F24" s="37"/>
      <c r="G24" s="37"/>
      <c r="H24" s="93"/>
      <c r="I24" s="37"/>
      <c r="J24" s="93"/>
      <c r="K24" s="94"/>
      <c r="M24" s="85"/>
    </row>
    <row r="25" spans="1:13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93">
        <f>+F25*(1+G$8)</f>
        <v>289.70372038709672</v>
      </c>
      <c r="H25" s="93">
        <f>+F25*(1+H$8)</f>
        <v>342.01524299999994</v>
      </c>
      <c r="I25" s="93">
        <f>+H25*(1+I$8)</f>
        <v>366.33699141935472</v>
      </c>
      <c r="J25" s="93">
        <f>+H25*(1+J$8)</f>
        <v>374.79672999999991</v>
      </c>
      <c r="K25" s="94">
        <f>+J25*(1+K$8)</f>
        <v>450.41212899999994</v>
      </c>
      <c r="L25" s="76"/>
      <c r="M25" s="85"/>
    </row>
    <row r="26" spans="1:13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93">
        <f>+F26*(1+G$8)</f>
        <v>21.697320645161287</v>
      </c>
      <c r="H26" s="93">
        <f>+F26*(1+H$8)</f>
        <v>25.615184999999997</v>
      </c>
      <c r="I26" s="93">
        <f>+H26*(1+I$8)</f>
        <v>27.436759032258056</v>
      </c>
      <c r="J26" s="93">
        <f>+H26*(1+J$8)</f>
        <v>28.070349999999994</v>
      </c>
      <c r="K26" s="94">
        <f>+J26*(1+K$8)</f>
        <v>33.733554999999996</v>
      </c>
      <c r="L26" s="76"/>
      <c r="M26" s="85"/>
    </row>
    <row r="27" spans="1:13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93">
        <f>+F27*(1+G$8)</f>
        <v>25.242813419354835</v>
      </c>
      <c r="H27" s="93">
        <f>+F27*(1+H$8)</f>
        <v>29.800883999999996</v>
      </c>
      <c r="I27" s="93">
        <f>+H27*(1+I$8)</f>
        <v>31.920115870967734</v>
      </c>
      <c r="J27" s="93">
        <f>+H27*(1+J$8)</f>
        <v>32.657239999999994</v>
      </c>
      <c r="K27" s="94">
        <f>+J27*(1+K$8)</f>
        <v>39.245851999999992</v>
      </c>
      <c r="L27" s="76"/>
      <c r="M27" s="85"/>
    </row>
    <row r="28" spans="1:13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93">
        <f>+F28*(1+G$8)</f>
        <v>30.526829677419354</v>
      </c>
      <c r="H28" s="93">
        <f>+F28*(1+H$8)</f>
        <v>36.039029999999997</v>
      </c>
      <c r="I28" s="93">
        <f>+H28*(1+I$8)</f>
        <v>38.601875483870963</v>
      </c>
      <c r="J28" s="93">
        <f>+H28*(1+J$8)</f>
        <v>39.493299999999998</v>
      </c>
      <c r="K28" s="94">
        <f>+J28*(1+K$8)</f>
        <v>47.461089999999999</v>
      </c>
      <c r="L28" s="76"/>
      <c r="M28" s="85"/>
    </row>
    <row r="29" spans="1:13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93">
        <f>+F29*(1+G$8)</f>
        <v>36.673263096774185</v>
      </c>
      <c r="H29" s="93">
        <f>+F29*(1+H$8)</f>
        <v>43.295318999999992</v>
      </c>
      <c r="I29" s="93">
        <f>+H29*(1+I$8)</f>
        <v>46.374181354838697</v>
      </c>
      <c r="J29" s="93">
        <f>+H29*(1+J$8)</f>
        <v>47.445089999999993</v>
      </c>
      <c r="K29" s="94">
        <f>+J29*(1+K$8)</f>
        <v>57.017156999999997</v>
      </c>
      <c r="L29" s="76"/>
      <c r="M29" s="85"/>
    </row>
    <row r="30" spans="1:13" x14ac:dyDescent="0.3">
      <c r="A30" s="39"/>
      <c r="B30" s="40"/>
      <c r="C30" s="41"/>
      <c r="D30" s="42"/>
      <c r="E30" s="43"/>
      <c r="F30" s="95"/>
      <c r="G30" s="95"/>
      <c r="H30" s="93"/>
      <c r="I30" s="95"/>
      <c r="J30" s="93"/>
      <c r="K30" s="94"/>
      <c r="M30" s="85"/>
    </row>
    <row r="31" spans="1:13" x14ac:dyDescent="0.3">
      <c r="A31" s="34" t="s">
        <v>70</v>
      </c>
      <c r="B31" s="40"/>
      <c r="C31" s="41"/>
      <c r="D31" s="42"/>
      <c r="E31" s="43"/>
      <c r="F31" s="95"/>
      <c r="G31" s="95"/>
      <c r="H31" s="93"/>
      <c r="I31" s="95"/>
      <c r="J31" s="93"/>
      <c r="K31" s="94"/>
      <c r="M31" s="85"/>
    </row>
    <row r="32" spans="1:13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93">
        <f>+F32*(1+G$8)</f>
        <v>18.206584516129031</v>
      </c>
      <c r="H32" s="93">
        <f>+F32*(1+H$8)</f>
        <v>21.494129999999998</v>
      </c>
      <c r="I32" s="93">
        <f>+H32*(1+I$8)</f>
        <v>23.022643225806448</v>
      </c>
      <c r="J32" s="93">
        <f>+H32*(1+J$8)</f>
        <v>23.554299999999998</v>
      </c>
      <c r="K32" s="94">
        <f>+J32*(1+K$8)</f>
        <v>28.306389999999997</v>
      </c>
      <c r="L32" s="76"/>
      <c r="M32" s="85"/>
    </row>
    <row r="33" spans="1:13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93">
        <f>+F33*(1+G$8)</f>
        <v>13715.088561806451</v>
      </c>
      <c r="H33" s="93">
        <f>+F33*(1+H$8)</f>
        <v>16191.608934</v>
      </c>
      <c r="I33" s="93">
        <f>+H33*(1+I$8)</f>
        <v>17343.043693290321</v>
      </c>
      <c r="J33" s="93">
        <f>+H33*(1+J$8)</f>
        <v>17743.542740000001</v>
      </c>
      <c r="K33" s="94">
        <f>+J33*(1+K$8)</f>
        <v>21323.310002000002</v>
      </c>
      <c r="L33" s="76"/>
      <c r="M33" s="85"/>
    </row>
    <row r="34" spans="1:13" x14ac:dyDescent="0.3">
      <c r="A34" s="39"/>
      <c r="B34" s="40"/>
      <c r="C34" s="41"/>
      <c r="D34" s="42"/>
      <c r="E34" s="43"/>
      <c r="F34" s="95"/>
      <c r="G34" s="95"/>
      <c r="H34" s="93"/>
      <c r="I34" s="95"/>
      <c r="J34" s="93"/>
      <c r="K34" s="94"/>
      <c r="M34" s="85"/>
    </row>
    <row r="35" spans="1:13" x14ac:dyDescent="0.3">
      <c r="A35" s="34" t="s">
        <v>74</v>
      </c>
      <c r="B35" s="40"/>
      <c r="C35" s="41"/>
      <c r="D35" s="42"/>
      <c r="E35" s="43"/>
      <c r="F35" s="95"/>
      <c r="G35" s="95"/>
      <c r="H35" s="93"/>
      <c r="I35" s="95"/>
      <c r="J35" s="93"/>
      <c r="K35" s="94"/>
      <c r="M35" s="85"/>
    </row>
    <row r="36" spans="1:13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93">
        <f>+F36*(1+G$8)</f>
        <v>553.86346580645159</v>
      </c>
      <c r="H36" s="93">
        <f>+F36*(1+H$8)</f>
        <v>653.87405999999999</v>
      </c>
      <c r="I36" s="93">
        <f>+H36*(1+I$8)</f>
        <v>700.37304129032248</v>
      </c>
      <c r="J36" s="93">
        <f>+H36*(1+J$8)</f>
        <v>716.54660000000001</v>
      </c>
      <c r="K36" s="94">
        <f>+J36*(1+K$8)</f>
        <v>861.11018000000001</v>
      </c>
      <c r="L36" s="76"/>
      <c r="M36" s="85"/>
    </row>
    <row r="37" spans="1:13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93">
        <f>+F37*(1+G$8)</f>
        <v>1101.2108908387097</v>
      </c>
      <c r="H37" s="93">
        <f>+F37*(1+H$8)</f>
        <v>1300.055484</v>
      </c>
      <c r="I37" s="93">
        <f>+H37*(1+I$8)</f>
        <v>1392.5063997419352</v>
      </c>
      <c r="J37" s="93">
        <f>+H37*(1+J$8)</f>
        <v>1424.6632399999999</v>
      </c>
      <c r="K37" s="94">
        <f>+J37*(1+K$8)</f>
        <v>1712.0896519999999</v>
      </c>
      <c r="L37" s="76"/>
      <c r="M37" s="85"/>
    </row>
    <row r="38" spans="1:13" x14ac:dyDescent="0.3">
      <c r="A38" s="39"/>
      <c r="B38" s="40"/>
      <c r="C38" s="41"/>
      <c r="D38" s="42"/>
      <c r="E38" s="43"/>
      <c r="F38" s="93"/>
      <c r="G38" s="93"/>
      <c r="H38" s="93"/>
      <c r="I38" s="93"/>
      <c r="J38" s="93"/>
      <c r="K38" s="94"/>
      <c r="L38" s="76"/>
      <c r="M38" s="85"/>
    </row>
    <row r="39" spans="1:13" x14ac:dyDescent="0.3">
      <c r="A39" s="34" t="s">
        <v>78</v>
      </c>
      <c r="B39" s="40"/>
      <c r="C39" s="41"/>
      <c r="D39" s="42"/>
      <c r="E39" s="43"/>
      <c r="F39" s="93"/>
      <c r="G39" s="93"/>
      <c r="H39" s="93"/>
      <c r="I39" s="93"/>
      <c r="J39" s="93"/>
      <c r="K39" s="94"/>
      <c r="L39" s="76"/>
      <c r="M39" s="85"/>
    </row>
    <row r="40" spans="1:13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93">
        <f>+D40*(1+$F$8)</f>
        <v>70.718368000000012</v>
      </c>
      <c r="G40" s="93">
        <f>+F40*(1+G$8)</f>
        <v>79.821499483870966</v>
      </c>
      <c r="H40" s="93">
        <f>+F40*(1+H$8)</f>
        <v>94.234791000000001</v>
      </c>
      <c r="I40" s="93">
        <f>+H40*(1+I$8)</f>
        <v>100.93611477419354</v>
      </c>
      <c r="J40" s="93">
        <f>+H40*(1+J$8)</f>
        <v>103.26701</v>
      </c>
      <c r="K40" s="94">
        <f>+J40*(1+K$8)</f>
        <v>124.101173</v>
      </c>
      <c r="L40" s="76"/>
      <c r="M40" s="85"/>
    </row>
    <row r="41" spans="1:13" x14ac:dyDescent="0.3">
      <c r="A41" s="39"/>
      <c r="B41" s="40"/>
      <c r="C41" s="41"/>
      <c r="D41" s="42"/>
      <c r="E41" s="43"/>
      <c r="F41" s="93"/>
      <c r="G41" s="93"/>
      <c r="H41" s="93"/>
      <c r="I41" s="93"/>
      <c r="J41" s="93"/>
      <c r="K41" s="94"/>
      <c r="L41" s="76"/>
      <c r="M41" s="85"/>
    </row>
    <row r="42" spans="1:13" x14ac:dyDescent="0.3">
      <c r="A42" s="52"/>
      <c r="B42" s="53"/>
      <c r="C42" s="54"/>
      <c r="D42" s="54"/>
      <c r="E42" s="54"/>
      <c r="F42" s="55"/>
      <c r="G42" s="55"/>
      <c r="H42" s="55"/>
      <c r="I42" s="55"/>
      <c r="J42" s="55"/>
      <c r="K42" s="96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7B4B-AF42-4DBB-BBDC-5FDCFCF00055}">
  <sheetPr>
    <pageSetUpPr fitToPage="1"/>
  </sheetPr>
  <dimension ref="A1:L38"/>
  <sheetViews>
    <sheetView workbookViewId="0">
      <selection activeCell="I8" sqref="I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8" width="24.6640625" style="1" customWidth="1"/>
    <col min="9" max="9" width="24.6640625" style="97" customWidth="1"/>
    <col min="10" max="10" width="24.6640625" style="1" customWidth="1"/>
    <col min="11" max="11" width="21.33203125" style="1" customWidth="1"/>
    <col min="12" max="16384" width="10.6640625" style="1"/>
  </cols>
  <sheetData>
    <row r="1" spans="1:12" x14ac:dyDescent="0.3">
      <c r="I1" s="3" t="s">
        <v>0</v>
      </c>
    </row>
    <row r="2" spans="1:12" x14ac:dyDescent="0.3">
      <c r="E2" s="4"/>
      <c r="I2" s="98"/>
    </row>
    <row r="3" spans="1:12" x14ac:dyDescent="0.3">
      <c r="A3" s="119" t="s">
        <v>96</v>
      </c>
      <c r="B3" s="119"/>
      <c r="C3" s="119"/>
      <c r="D3" s="119"/>
      <c r="E3" s="119"/>
      <c r="F3" s="119"/>
      <c r="G3" s="119"/>
      <c r="H3" s="119"/>
      <c r="I3" s="119"/>
      <c r="J3" s="119"/>
    </row>
    <row r="5" spans="1:12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11" t="s">
        <v>4</v>
      </c>
      <c r="H5" s="9" t="s">
        <v>4</v>
      </c>
      <c r="I5" s="99" t="s">
        <v>5</v>
      </c>
      <c r="J5" s="9" t="s">
        <v>5</v>
      </c>
    </row>
    <row r="6" spans="1:12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6" t="s">
        <v>21</v>
      </c>
      <c r="G6" s="16" t="s">
        <v>22</v>
      </c>
      <c r="H6" s="16" t="s">
        <v>23</v>
      </c>
      <c r="I6" s="100" t="s">
        <v>24</v>
      </c>
      <c r="J6" s="16" t="s">
        <v>25</v>
      </c>
    </row>
    <row r="7" spans="1:12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88" t="s">
        <v>38</v>
      </c>
      <c r="H7" s="88" t="s">
        <v>39</v>
      </c>
      <c r="I7" s="101" t="s">
        <v>40</v>
      </c>
      <c r="J7" s="88" t="s">
        <v>39</v>
      </c>
    </row>
    <row r="8" spans="1:1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v>0.12872372116775888</v>
      </c>
      <c r="H8" s="90">
        <v>0.33253627968337712</v>
      </c>
      <c r="I8" s="65">
        <f>K8*23/31</f>
        <v>7.1113053927116449E-2</v>
      </c>
      <c r="J8" s="90">
        <f>K8</f>
        <v>9.5848029206113461E-2</v>
      </c>
      <c r="K8" s="1">
        <f>(1.771/1.6161)-1</f>
        <v>9.5848029206113461E-2</v>
      </c>
    </row>
    <row r="9" spans="1:12" x14ac:dyDescent="0.3">
      <c r="A9" s="34" t="s">
        <v>53</v>
      </c>
      <c r="B9" s="35"/>
      <c r="C9" s="36"/>
      <c r="D9" s="36"/>
      <c r="E9" s="36"/>
      <c r="F9" s="37"/>
      <c r="G9" s="37"/>
      <c r="H9" s="37"/>
      <c r="I9" s="102"/>
      <c r="J9" s="37"/>
    </row>
    <row r="10" spans="1:1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93">
        <f>+F10*(1+G$8)</f>
        <v>213.14024129032256</v>
      </c>
      <c r="H10" s="93">
        <f>+F10*(1+H$8)</f>
        <v>251.62676999999996</v>
      </c>
      <c r="I10" s="103">
        <f>+H10*(1+I$8)</f>
        <v>269.52071806451613</v>
      </c>
      <c r="J10" s="93">
        <f>+H10*(1+J$8)</f>
        <v>275.74469999999997</v>
      </c>
      <c r="K10" s="76"/>
      <c r="L10" s="85"/>
    </row>
    <row r="11" spans="1:1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93">
        <f>+F11*(1+G$8)</f>
        <v>253.63278038709677</v>
      </c>
      <c r="H11" s="93">
        <f>+F11*(1+H$8)</f>
        <v>299.43100799999996</v>
      </c>
      <c r="I11" s="103">
        <f>+H11*(1+I$8)</f>
        <v>320.72446141935484</v>
      </c>
      <c r="J11" s="93">
        <f>+H11*(1+J$8)</f>
        <v>328.13087999999993</v>
      </c>
      <c r="K11" s="76"/>
      <c r="L11" s="85"/>
    </row>
    <row r="12" spans="1:1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93">
        <f>+F12*(1+G$8)</f>
        <v>274.22127896774191</v>
      </c>
      <c r="H12" s="93">
        <f>+F12*(1+H$8)</f>
        <v>323.73715199999998</v>
      </c>
      <c r="I12" s="103">
        <f>+H12*(1+I$8)</f>
        <v>346.75908954838712</v>
      </c>
      <c r="J12" s="93">
        <f>+H12*(1+J$8)</f>
        <v>354.76671999999996</v>
      </c>
      <c r="K12" s="76"/>
      <c r="L12" s="85"/>
    </row>
    <row r="13" spans="1:1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93">
        <f>+F13*(1+G$8)</f>
        <v>164.16042219354838</v>
      </c>
      <c r="H13" s="93">
        <f>+F13*(1+H$8)</f>
        <v>193.80271199999999</v>
      </c>
      <c r="I13" s="103">
        <f>+H13*(1+I$8)</f>
        <v>207.58461470967742</v>
      </c>
      <c r="J13" s="93">
        <f>+H13*(1+J$8)</f>
        <v>212.37831999999997</v>
      </c>
      <c r="K13" s="76"/>
      <c r="L13" s="85"/>
    </row>
    <row r="14" spans="1:12" x14ac:dyDescent="0.3">
      <c r="A14" s="39"/>
      <c r="B14" s="40"/>
      <c r="C14" s="41"/>
      <c r="D14" s="42"/>
      <c r="E14" s="43"/>
      <c r="F14" s="37"/>
      <c r="G14" s="37"/>
      <c r="H14" s="93"/>
      <c r="I14" s="103"/>
      <c r="J14" s="93"/>
      <c r="L14" s="85"/>
    </row>
    <row r="15" spans="1:12" x14ac:dyDescent="0.3">
      <c r="A15" s="39"/>
      <c r="B15" s="40"/>
      <c r="C15" s="36"/>
      <c r="D15" s="42"/>
      <c r="E15" s="43"/>
      <c r="F15" s="37"/>
      <c r="G15" s="37"/>
      <c r="H15" s="93"/>
      <c r="I15" s="103"/>
      <c r="J15" s="93"/>
      <c r="L15" s="85"/>
    </row>
    <row r="16" spans="1:12" x14ac:dyDescent="0.3">
      <c r="A16" s="34" t="s">
        <v>59</v>
      </c>
      <c r="B16" s="35"/>
      <c r="C16" s="48"/>
      <c r="D16" s="42"/>
      <c r="E16" s="43"/>
      <c r="F16" s="37"/>
      <c r="G16" s="37"/>
      <c r="H16" s="93"/>
      <c r="I16" s="103"/>
      <c r="J16" s="93"/>
      <c r="L16" s="85"/>
    </row>
    <row r="17" spans="1:1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93">
        <f>+F17*(1+G$8)</f>
        <v>381.09256116129029</v>
      </c>
      <c r="H17" s="93">
        <f>+F17*(1+H$8)</f>
        <v>449.90607899999992</v>
      </c>
      <c r="I17" s="103">
        <f>+H17*(1+I$8)</f>
        <v>481.90027425806448</v>
      </c>
      <c r="J17" s="93">
        <f>+H17*(1+J$8)</f>
        <v>493.02868999999993</v>
      </c>
      <c r="K17" s="76"/>
      <c r="L17" s="85"/>
    </row>
    <row r="18" spans="1:1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93">
        <f>+F18*(1+G$8)</f>
        <v>580.4067495483871</v>
      </c>
      <c r="H18" s="93">
        <f>+F18*(1+H$8)</f>
        <v>685.210239</v>
      </c>
      <c r="I18" s="103">
        <f>+H18*(1+I$8)</f>
        <v>733.9376316774194</v>
      </c>
      <c r="J18" s="93">
        <f>+H18*(1+J$8)</f>
        <v>750.88629000000003</v>
      </c>
      <c r="K18" s="76"/>
      <c r="L18" s="85"/>
    </row>
    <row r="19" spans="1:12" x14ac:dyDescent="0.3">
      <c r="A19" s="39"/>
      <c r="B19" s="40"/>
      <c r="C19" s="36"/>
      <c r="D19" s="42"/>
      <c r="E19" s="43"/>
      <c r="F19" s="37"/>
      <c r="G19" s="37"/>
      <c r="H19" s="93"/>
      <c r="I19" s="103"/>
      <c r="J19" s="93"/>
      <c r="L19" s="85"/>
    </row>
    <row r="20" spans="1:12" x14ac:dyDescent="0.3">
      <c r="A20" s="39"/>
      <c r="B20" s="40"/>
      <c r="C20" s="36"/>
      <c r="D20" s="42"/>
      <c r="E20" s="43"/>
      <c r="F20" s="37"/>
      <c r="G20" s="37"/>
      <c r="H20" s="93"/>
      <c r="I20" s="103"/>
      <c r="J20" s="93"/>
      <c r="L20" s="85"/>
    </row>
    <row r="21" spans="1:1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93">
        <f>+F21*(1+G$8)</f>
        <v>50.239509407870955</v>
      </c>
      <c r="H21" s="93">
        <f>+F21*(1+H$8)</f>
        <v>59.311209380999983</v>
      </c>
      <c r="I21" s="103">
        <f>+H21*(1+I$8)</f>
        <v>63.529010612193538</v>
      </c>
      <c r="J21" s="93">
        <f>+H21*(1+J$8)</f>
        <v>64.996071909999984</v>
      </c>
      <c r="K21" s="76"/>
      <c r="L21" s="85"/>
    </row>
    <row r="22" spans="1:12" x14ac:dyDescent="0.3">
      <c r="A22" s="39"/>
      <c r="B22" s="40"/>
      <c r="C22" s="36"/>
      <c r="D22" s="42"/>
      <c r="E22" s="43"/>
      <c r="F22" s="37"/>
      <c r="G22" s="37"/>
      <c r="H22" s="93"/>
      <c r="I22" s="103"/>
      <c r="J22" s="93"/>
      <c r="L22" s="85"/>
    </row>
    <row r="23" spans="1:12" x14ac:dyDescent="0.3">
      <c r="A23" s="39"/>
      <c r="B23" s="40"/>
      <c r="C23" s="36"/>
      <c r="D23" s="42"/>
      <c r="E23" s="43"/>
      <c r="F23" s="37"/>
      <c r="G23" s="37"/>
      <c r="H23" s="93"/>
      <c r="I23" s="103"/>
      <c r="J23" s="93"/>
      <c r="L23" s="85"/>
    </row>
    <row r="24" spans="1:12" x14ac:dyDescent="0.3">
      <c r="A24" s="34" t="s">
        <v>63</v>
      </c>
      <c r="B24" s="35"/>
      <c r="C24" s="36"/>
      <c r="D24" s="42"/>
      <c r="E24" s="43"/>
      <c r="F24" s="37"/>
      <c r="G24" s="37"/>
      <c r="H24" s="93"/>
      <c r="I24" s="103"/>
      <c r="J24" s="93"/>
      <c r="L24" s="85"/>
    </row>
    <row r="25" spans="1:1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93">
        <f>+F25*(1+G$8)</f>
        <v>289.70372038709672</v>
      </c>
      <c r="H25" s="93">
        <f>+F25*(1+H$8)</f>
        <v>342.01524299999994</v>
      </c>
      <c r="I25" s="103">
        <f>+H25*(1+I$8)</f>
        <v>366.33699141935477</v>
      </c>
      <c r="J25" s="93">
        <f>+H25*(1+J$8)</f>
        <v>374.79672999999991</v>
      </c>
      <c r="K25" s="76"/>
      <c r="L25" s="85"/>
    </row>
    <row r="26" spans="1:1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93">
        <f>+F26*(1+G$8)</f>
        <v>21.697320645161287</v>
      </c>
      <c r="H26" s="93">
        <f>+F26*(1+H$8)</f>
        <v>25.615184999999997</v>
      </c>
      <c r="I26" s="103">
        <f>+H26*(1+I$8)</f>
        <v>27.436759032258063</v>
      </c>
      <c r="J26" s="93">
        <f>+H26*(1+J$8)</f>
        <v>28.070349999999994</v>
      </c>
      <c r="K26" s="76"/>
      <c r="L26" s="85"/>
    </row>
    <row r="27" spans="1:1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93">
        <f>+F27*(1+G$8)</f>
        <v>25.242813419354835</v>
      </c>
      <c r="H27" s="93">
        <f>+F27*(1+H$8)</f>
        <v>29.800883999999996</v>
      </c>
      <c r="I27" s="103">
        <f>+H27*(1+I$8)</f>
        <v>31.920115870967742</v>
      </c>
      <c r="J27" s="93">
        <f>+H27*(1+J$8)</f>
        <v>32.657239999999994</v>
      </c>
      <c r="K27" s="76"/>
      <c r="L27" s="85"/>
    </row>
    <row r="28" spans="1:1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93">
        <f>+F28*(1+G$8)</f>
        <v>30.526829677419354</v>
      </c>
      <c r="H28" s="93">
        <f>+F28*(1+H$8)</f>
        <v>36.039029999999997</v>
      </c>
      <c r="I28" s="103">
        <f>+H28*(1+I$8)</f>
        <v>38.60187548387097</v>
      </c>
      <c r="J28" s="93">
        <f>+H28*(1+J$8)</f>
        <v>39.493299999999998</v>
      </c>
      <c r="K28" s="76"/>
      <c r="L28" s="85"/>
    </row>
    <row r="29" spans="1:1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93">
        <f>+F29*(1+G$8)</f>
        <v>36.673263096774185</v>
      </c>
      <c r="H29" s="93">
        <f>+F29*(1+H$8)</f>
        <v>43.295318999999992</v>
      </c>
      <c r="I29" s="103">
        <f>+H29*(1+I$8)</f>
        <v>46.374181354838704</v>
      </c>
      <c r="J29" s="93">
        <f>+H29*(1+J$8)</f>
        <v>47.445089999999993</v>
      </c>
      <c r="K29" s="76"/>
      <c r="L29" s="85"/>
    </row>
    <row r="30" spans="1:12" x14ac:dyDescent="0.3">
      <c r="A30" s="39"/>
      <c r="B30" s="40"/>
      <c r="C30" s="41"/>
      <c r="D30" s="42"/>
      <c r="E30" s="43"/>
      <c r="F30" s="95"/>
      <c r="G30" s="95"/>
      <c r="H30" s="93"/>
      <c r="I30" s="103"/>
      <c r="J30" s="93"/>
      <c r="L30" s="85"/>
    </row>
    <row r="31" spans="1:12" x14ac:dyDescent="0.3">
      <c r="A31" s="34" t="s">
        <v>70</v>
      </c>
      <c r="B31" s="40"/>
      <c r="C31" s="41"/>
      <c r="D31" s="42"/>
      <c r="E31" s="43"/>
      <c r="F31" s="95"/>
      <c r="G31" s="95"/>
      <c r="H31" s="93"/>
      <c r="I31" s="103"/>
      <c r="J31" s="93"/>
      <c r="L31" s="85"/>
    </row>
    <row r="32" spans="1:1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93">
        <f>+F32*(1+G$8)</f>
        <v>18.206584516129031</v>
      </c>
      <c r="H32" s="93">
        <f>+F32*(1+H$8)</f>
        <v>21.494129999999998</v>
      </c>
      <c r="I32" s="103">
        <f>+H32*(1+I$8)</f>
        <v>23.022643225806451</v>
      </c>
      <c r="J32" s="93">
        <f>+H32*(1+J$8)</f>
        <v>23.554299999999998</v>
      </c>
      <c r="K32" s="76"/>
      <c r="L32" s="85"/>
    </row>
    <row r="33" spans="1:1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93">
        <f>+F33*(1+G$8)</f>
        <v>13715.088561806451</v>
      </c>
      <c r="H33" s="93">
        <f>+F33*(1+H$8)</f>
        <v>16191.608934</v>
      </c>
      <c r="I33" s="103">
        <f>+H33*(1+I$8)</f>
        <v>17343.043693290325</v>
      </c>
      <c r="J33" s="93">
        <f>+H33*(1+J$8)</f>
        <v>17743.542740000001</v>
      </c>
      <c r="K33" s="76"/>
      <c r="L33" s="85"/>
    </row>
    <row r="34" spans="1:12" x14ac:dyDescent="0.3">
      <c r="A34" s="39"/>
      <c r="B34" s="40"/>
      <c r="C34" s="41"/>
      <c r="D34" s="42"/>
      <c r="E34" s="43"/>
      <c r="F34" s="95"/>
      <c r="G34" s="95"/>
      <c r="H34" s="93"/>
      <c r="I34" s="103"/>
      <c r="J34" s="93"/>
      <c r="L34" s="85"/>
    </row>
    <row r="35" spans="1:12" x14ac:dyDescent="0.3">
      <c r="A35" s="34" t="s">
        <v>74</v>
      </c>
      <c r="B35" s="40"/>
      <c r="C35" s="41"/>
      <c r="D35" s="42"/>
      <c r="E35" s="43"/>
      <c r="F35" s="95"/>
      <c r="G35" s="95"/>
      <c r="H35" s="93"/>
      <c r="I35" s="103"/>
      <c r="J35" s="93"/>
      <c r="L35" s="85"/>
    </row>
    <row r="36" spans="1:1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93">
        <f>+F36*(1+G$8)</f>
        <v>553.86346580645159</v>
      </c>
      <c r="H36" s="93">
        <f>+F36*(1+H$8)</f>
        <v>653.87405999999999</v>
      </c>
      <c r="I36" s="103">
        <f>+H36*(1+I$8)</f>
        <v>700.37304129032259</v>
      </c>
      <c r="J36" s="93">
        <f>+H36*(1+J$8)</f>
        <v>716.54660000000001</v>
      </c>
      <c r="K36" s="76"/>
      <c r="L36" s="85"/>
    </row>
    <row r="37" spans="1:1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93">
        <f>+F37*(1+G$8)</f>
        <v>1101.2108908387097</v>
      </c>
      <c r="H37" s="93">
        <f>+F37*(1+H$8)</f>
        <v>1300.055484</v>
      </c>
      <c r="I37" s="103">
        <f>+H37*(1+I$8)</f>
        <v>1392.5063997419356</v>
      </c>
      <c r="J37" s="93">
        <f>+H37*(1+J$8)</f>
        <v>1424.6632399999999</v>
      </c>
      <c r="K37" s="76"/>
      <c r="L37" s="85"/>
    </row>
    <row r="38" spans="1:12" x14ac:dyDescent="0.3">
      <c r="A38" s="52"/>
      <c r="B38" s="53"/>
      <c r="C38" s="54"/>
      <c r="D38" s="54"/>
      <c r="E38" s="54"/>
      <c r="F38" s="55"/>
      <c r="G38" s="55"/>
      <c r="H38" s="55"/>
      <c r="I38" s="104"/>
      <c r="J38" s="55"/>
    </row>
  </sheetData>
  <sheetProtection selectLockedCells="1" selectUnlockedCells="1"/>
  <mergeCells count="2">
    <mergeCell ref="A3:J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337D-788D-4DBD-AF79-B334F51D9691}">
  <sheetPr>
    <pageSetUpPr fitToPage="1"/>
  </sheetPr>
  <dimension ref="A1:I38"/>
  <sheetViews>
    <sheetView topLeftCell="C5" workbookViewId="0">
      <selection activeCell="G8" sqref="G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6" width="24.6640625" style="1" customWidth="1"/>
    <col min="7" max="7" width="24.6640625" style="97" customWidth="1"/>
    <col min="8" max="8" width="24.6640625" style="1" customWidth="1"/>
    <col min="9" max="9" width="21.33203125" style="1" customWidth="1"/>
    <col min="10" max="16384" width="10.6640625" style="1"/>
  </cols>
  <sheetData>
    <row r="1" spans="1:9" x14ac:dyDescent="0.3">
      <c r="G1" s="3" t="s">
        <v>0</v>
      </c>
    </row>
    <row r="2" spans="1:9" x14ac:dyDescent="0.3">
      <c r="E2" s="4"/>
      <c r="G2" s="98"/>
    </row>
    <row r="3" spans="1:9" x14ac:dyDescent="0.3">
      <c r="A3" s="119" t="s">
        <v>97</v>
      </c>
      <c r="B3" s="119"/>
      <c r="C3" s="119"/>
      <c r="D3" s="119"/>
      <c r="E3" s="119"/>
      <c r="F3" s="119"/>
    </row>
    <row r="4" spans="1:9" x14ac:dyDescent="0.3">
      <c r="A4" s="1" t="s">
        <v>98</v>
      </c>
    </row>
    <row r="5" spans="1:9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99" t="s">
        <v>4</v>
      </c>
      <c r="H5" s="9" t="s">
        <v>4</v>
      </c>
    </row>
    <row r="6" spans="1:9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6" t="s">
        <v>21</v>
      </c>
      <c r="G6" s="100" t="s">
        <v>22</v>
      </c>
      <c r="H6" s="16" t="s">
        <v>23</v>
      </c>
    </row>
    <row r="7" spans="1:9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101" t="s">
        <v>38</v>
      </c>
      <c r="H7" s="88" t="s">
        <v>39</v>
      </c>
    </row>
    <row r="8" spans="1:9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f>I8*12/31</f>
        <v>0.12872372116775888</v>
      </c>
      <c r="H8" s="90">
        <f>I8</f>
        <v>0.33253627968337707</v>
      </c>
      <c r="I8" s="1">
        <f>(1.6161/1.2128)-1</f>
        <v>0.33253627968337707</v>
      </c>
    </row>
    <row r="9" spans="1:9" x14ac:dyDescent="0.3">
      <c r="A9" s="34" t="s">
        <v>53</v>
      </c>
      <c r="B9" s="35"/>
      <c r="C9" s="36"/>
      <c r="D9" s="36"/>
      <c r="E9" s="36"/>
      <c r="F9" s="37"/>
      <c r="G9" s="102"/>
      <c r="H9" s="37"/>
    </row>
    <row r="10" spans="1:9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103">
        <f>+F10*(1+$G$8)</f>
        <v>213.14024129032256</v>
      </c>
      <c r="H10" s="93">
        <f>+F10*(1+$H$8)</f>
        <v>251.62676999999996</v>
      </c>
      <c r="I10" s="76"/>
    </row>
    <row r="11" spans="1:9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103">
        <f>+F11*(1+$G$8)</f>
        <v>253.63278038709677</v>
      </c>
      <c r="H11" s="93">
        <f>+F11*(1+$H$8)</f>
        <v>299.43100799999996</v>
      </c>
      <c r="I11" s="76"/>
    </row>
    <row r="12" spans="1:9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103">
        <f>+F12*(1+$G$8)</f>
        <v>274.22127896774191</v>
      </c>
      <c r="H12" s="93">
        <f>+F12*(1+$H$8)</f>
        <v>323.73715199999998</v>
      </c>
      <c r="I12" s="76"/>
    </row>
    <row r="13" spans="1:9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103">
        <f>+F13*(1+$G$8)</f>
        <v>164.16042219354838</v>
      </c>
      <c r="H13" s="93">
        <f>+F13*(1+$H$8)</f>
        <v>193.80271199999999</v>
      </c>
      <c r="I13" s="76"/>
    </row>
    <row r="14" spans="1:9" x14ac:dyDescent="0.3">
      <c r="A14" s="39"/>
      <c r="B14" s="40"/>
      <c r="C14" s="41"/>
      <c r="D14" s="42"/>
      <c r="E14" s="43"/>
      <c r="F14" s="37"/>
      <c r="G14" s="103"/>
      <c r="H14" s="93"/>
    </row>
    <row r="15" spans="1:9" x14ac:dyDescent="0.3">
      <c r="A15" s="39"/>
      <c r="B15" s="40"/>
      <c r="C15" s="36"/>
      <c r="D15" s="42"/>
      <c r="E15" s="43"/>
      <c r="F15" s="37"/>
      <c r="G15" s="103"/>
      <c r="H15" s="93"/>
    </row>
    <row r="16" spans="1:9" x14ac:dyDescent="0.3">
      <c r="A16" s="34" t="s">
        <v>59</v>
      </c>
      <c r="B16" s="35"/>
      <c r="C16" s="48"/>
      <c r="D16" s="42"/>
      <c r="E16" s="43"/>
      <c r="F16" s="37"/>
      <c r="G16" s="103"/>
      <c r="H16" s="93"/>
    </row>
    <row r="17" spans="1:9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103">
        <f>+F17*(1+$G$8)</f>
        <v>381.09256116129029</v>
      </c>
      <c r="H17" s="93">
        <f>+F17*(1+$H$8)</f>
        <v>449.90607899999992</v>
      </c>
      <c r="I17" s="76"/>
    </row>
    <row r="18" spans="1:9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103">
        <f>+F18*(1+$G$8)</f>
        <v>580.4067495483871</v>
      </c>
      <c r="H18" s="93">
        <f>+F18*(1+$H$8)</f>
        <v>685.210239</v>
      </c>
      <c r="I18" s="76"/>
    </row>
    <row r="19" spans="1:9" x14ac:dyDescent="0.3">
      <c r="A19" s="39"/>
      <c r="B19" s="40"/>
      <c r="C19" s="36"/>
      <c r="D19" s="42"/>
      <c r="E19" s="43"/>
      <c r="F19" s="37"/>
      <c r="G19" s="103"/>
      <c r="H19" s="93"/>
    </row>
    <row r="20" spans="1:9" x14ac:dyDescent="0.3">
      <c r="A20" s="39"/>
      <c r="B20" s="40"/>
      <c r="C20" s="36"/>
      <c r="D20" s="42"/>
      <c r="E20" s="43"/>
      <c r="F20" s="37"/>
      <c r="G20" s="103"/>
      <c r="H20" s="93"/>
    </row>
    <row r="21" spans="1:9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103">
        <f>+F21*(1+$G$8)</f>
        <v>50.239509407870955</v>
      </c>
      <c r="H21" s="93">
        <f>+F21*(1+$H$8)</f>
        <v>59.311209380999983</v>
      </c>
      <c r="I21" s="76"/>
    </row>
    <row r="22" spans="1:9" x14ac:dyDescent="0.3">
      <c r="A22" s="39"/>
      <c r="B22" s="40"/>
      <c r="C22" s="36"/>
      <c r="D22" s="42"/>
      <c r="E22" s="43"/>
      <c r="F22" s="37"/>
      <c r="G22" s="103"/>
      <c r="H22" s="93"/>
    </row>
    <row r="23" spans="1:9" x14ac:dyDescent="0.3">
      <c r="A23" s="39"/>
      <c r="B23" s="40"/>
      <c r="C23" s="36"/>
      <c r="D23" s="42"/>
      <c r="E23" s="43"/>
      <c r="F23" s="37"/>
      <c r="G23" s="103"/>
      <c r="H23" s="93"/>
    </row>
    <row r="24" spans="1:9" x14ac:dyDescent="0.3">
      <c r="A24" s="34" t="s">
        <v>63</v>
      </c>
      <c r="B24" s="35"/>
      <c r="C24" s="36"/>
      <c r="D24" s="42"/>
      <c r="E24" s="43"/>
      <c r="F24" s="37"/>
      <c r="G24" s="103"/>
      <c r="H24" s="93"/>
    </row>
    <row r="25" spans="1:9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103">
        <f>+F25*(1+$G$8)</f>
        <v>289.70372038709672</v>
      </c>
      <c r="H25" s="93">
        <f>+F25*(1+$H$8)</f>
        <v>342.01524299999994</v>
      </c>
      <c r="I25" s="76"/>
    </row>
    <row r="26" spans="1:9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103">
        <f>+F26*(1+$G$8)</f>
        <v>21.697320645161287</v>
      </c>
      <c r="H26" s="93">
        <f>+F26*(1+$H$8)</f>
        <v>25.615184999999997</v>
      </c>
      <c r="I26" s="76"/>
    </row>
    <row r="27" spans="1:9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103">
        <f>+F27*(1+$G$8)</f>
        <v>25.242813419354835</v>
      </c>
      <c r="H27" s="93">
        <f>+F27*(1+$H$8)</f>
        <v>29.800883999999996</v>
      </c>
      <c r="I27" s="76"/>
    </row>
    <row r="28" spans="1:9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103">
        <f>+F28*(1+$G$8)</f>
        <v>30.526829677419354</v>
      </c>
      <c r="H28" s="93">
        <f>+F28*(1+$H$8)</f>
        <v>36.039029999999997</v>
      </c>
      <c r="I28" s="76"/>
    </row>
    <row r="29" spans="1:9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103">
        <f>+F29*(1+$G$8)</f>
        <v>36.673263096774185</v>
      </c>
      <c r="H29" s="93">
        <f>+F29*(1+$H$8)</f>
        <v>43.295318999999992</v>
      </c>
      <c r="I29" s="76"/>
    </row>
    <row r="30" spans="1:9" x14ac:dyDescent="0.3">
      <c r="A30" s="39"/>
      <c r="B30" s="40"/>
      <c r="C30" s="41"/>
      <c r="D30" s="42"/>
      <c r="E30" s="43"/>
      <c r="F30" s="95"/>
      <c r="G30" s="103"/>
      <c r="H30" s="93"/>
    </row>
    <row r="31" spans="1:9" x14ac:dyDescent="0.3">
      <c r="A31" s="34" t="s">
        <v>70</v>
      </c>
      <c r="B31" s="40"/>
      <c r="C31" s="41"/>
      <c r="D31" s="42"/>
      <c r="E31" s="43"/>
      <c r="F31" s="95"/>
      <c r="G31" s="103"/>
      <c r="H31" s="93"/>
    </row>
    <row r="32" spans="1:9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103">
        <f>+F32*(1+$G$8)</f>
        <v>18.206584516129031</v>
      </c>
      <c r="H32" s="93">
        <f>+F32*(1+$H$8)</f>
        <v>21.494129999999998</v>
      </c>
      <c r="I32" s="76"/>
    </row>
    <row r="33" spans="1:9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103">
        <f>+F33*(1+$G$8)</f>
        <v>13715.088561806451</v>
      </c>
      <c r="H33" s="93">
        <f>+F33*(1+$H$8)</f>
        <v>16191.608934</v>
      </c>
      <c r="I33" s="76"/>
    </row>
    <row r="34" spans="1:9" x14ac:dyDescent="0.3">
      <c r="A34" s="39"/>
      <c r="B34" s="40"/>
      <c r="C34" s="41"/>
      <c r="D34" s="42"/>
      <c r="E34" s="43"/>
      <c r="F34" s="95"/>
      <c r="G34" s="103"/>
      <c r="H34" s="93"/>
    </row>
    <row r="35" spans="1:9" x14ac:dyDescent="0.3">
      <c r="A35" s="34" t="s">
        <v>74</v>
      </c>
      <c r="B35" s="40"/>
      <c r="C35" s="41"/>
      <c r="D35" s="42"/>
      <c r="E35" s="43"/>
      <c r="F35" s="95"/>
      <c r="G35" s="103"/>
      <c r="H35" s="93"/>
    </row>
    <row r="36" spans="1:9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103">
        <f>+F36*(1+$G$8)</f>
        <v>553.86346580645159</v>
      </c>
      <c r="H36" s="93">
        <f>+F36*(1+$H$8)</f>
        <v>653.87405999999999</v>
      </c>
      <c r="I36" s="76"/>
    </row>
    <row r="37" spans="1:9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103">
        <f>+F37*(1+$G$8)</f>
        <v>1101.2108908387097</v>
      </c>
      <c r="H37" s="93">
        <f>+F37*(1+$H$8)</f>
        <v>1300.055484</v>
      </c>
      <c r="I37" s="76"/>
    </row>
    <row r="38" spans="1:9" x14ac:dyDescent="0.3">
      <c r="A38" s="52"/>
      <c r="B38" s="53"/>
      <c r="C38" s="54"/>
      <c r="D38" s="54"/>
      <c r="E38" s="54"/>
      <c r="F38" s="55"/>
      <c r="G38" s="104"/>
      <c r="H38" s="55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00C-6BAE-4C28-86BF-A26EF05CFE36}">
  <sheetPr>
    <pageSetUpPr fitToPage="1"/>
  </sheetPr>
  <dimension ref="A2:F29"/>
  <sheetViews>
    <sheetView workbookViewId="0">
      <selection activeCell="H9" sqref="H9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0.6640625" style="1"/>
    <col min="4" max="5" width="24.6640625" style="1" customWidth="1"/>
    <col min="6" max="6" width="21.44140625" style="1" customWidth="1"/>
    <col min="7" max="16384" width="10.6640625" style="1"/>
  </cols>
  <sheetData>
    <row r="2" spans="1:6" x14ac:dyDescent="0.3">
      <c r="E2" s="4"/>
    </row>
    <row r="3" spans="1:6" x14ac:dyDescent="0.3">
      <c r="A3" s="119" t="s">
        <v>99</v>
      </c>
      <c r="B3" s="119"/>
      <c r="C3" s="119"/>
      <c r="D3" s="119"/>
      <c r="E3" s="119"/>
      <c r="F3" s="119"/>
    </row>
    <row r="5" spans="1:6" x14ac:dyDescent="0.3">
      <c r="A5" s="7"/>
      <c r="B5" s="8"/>
      <c r="C5" s="9"/>
      <c r="D5" s="10" t="s">
        <v>100</v>
      </c>
      <c r="E5" s="10" t="s">
        <v>2</v>
      </c>
      <c r="F5" s="105" t="s">
        <v>101</v>
      </c>
    </row>
    <row r="6" spans="1:6" x14ac:dyDescent="0.3">
      <c r="A6" s="118" t="s">
        <v>17</v>
      </c>
      <c r="B6" s="118"/>
      <c r="C6" s="13" t="s">
        <v>18</v>
      </c>
      <c r="D6" s="14" t="s">
        <v>102</v>
      </c>
      <c r="E6" s="14" t="s">
        <v>19</v>
      </c>
      <c r="F6" s="106" t="s">
        <v>103</v>
      </c>
    </row>
    <row r="7" spans="1:6" x14ac:dyDescent="0.3">
      <c r="A7" s="17"/>
      <c r="B7" s="18"/>
      <c r="C7" s="19"/>
      <c r="D7" s="20" t="s">
        <v>104</v>
      </c>
      <c r="E7" s="20" t="s">
        <v>36</v>
      </c>
      <c r="F7" s="107"/>
    </row>
    <row r="8" spans="1:6" x14ac:dyDescent="0.3">
      <c r="A8" s="34" t="s">
        <v>53</v>
      </c>
      <c r="B8" s="35"/>
      <c r="C8" s="36"/>
      <c r="D8" s="36"/>
      <c r="E8" s="108"/>
      <c r="F8" s="109"/>
    </row>
    <row r="9" spans="1:6" x14ac:dyDescent="0.3">
      <c r="A9" s="39"/>
      <c r="B9" s="40" t="s">
        <v>54</v>
      </c>
      <c r="C9" s="41" t="s">
        <v>55</v>
      </c>
      <c r="D9" s="43">
        <v>65.42</v>
      </c>
      <c r="E9" s="42">
        <v>155.69999999999999</v>
      </c>
      <c r="F9" s="110">
        <f>(+E9/D9)-1</f>
        <v>1.3800061143381228</v>
      </c>
    </row>
    <row r="10" spans="1:6" x14ac:dyDescent="0.3">
      <c r="A10" s="39"/>
      <c r="B10" s="40" t="s">
        <v>56</v>
      </c>
      <c r="C10" s="41" t="s">
        <v>55</v>
      </c>
      <c r="D10" s="43">
        <v>77.849999999999994</v>
      </c>
      <c r="E10" s="42">
        <v>185.28</v>
      </c>
      <c r="F10" s="110">
        <f>(+E10/D10)-1</f>
        <v>1.3799614643545279</v>
      </c>
    </row>
    <row r="11" spans="1:6" x14ac:dyDescent="0.3">
      <c r="A11" s="39"/>
      <c r="B11" s="40" t="s">
        <v>57</v>
      </c>
      <c r="C11" s="41" t="s">
        <v>55</v>
      </c>
      <c r="D11" s="43">
        <v>84.17</v>
      </c>
      <c r="E11" s="42">
        <v>200.32</v>
      </c>
      <c r="F11" s="110">
        <f>(+E11/D11)-1</f>
        <v>1.3799453486990614</v>
      </c>
    </row>
    <row r="12" spans="1:6" x14ac:dyDescent="0.3">
      <c r="A12" s="39"/>
      <c r="B12" s="40" t="s">
        <v>58</v>
      </c>
      <c r="C12" s="41" t="s">
        <v>55</v>
      </c>
      <c r="D12" s="43">
        <v>50.39</v>
      </c>
      <c r="E12" s="42">
        <v>119.92</v>
      </c>
      <c r="F12" s="110">
        <f>(+E12/D12)-1</f>
        <v>1.3798372692994643</v>
      </c>
    </row>
    <row r="13" spans="1:6" x14ac:dyDescent="0.3">
      <c r="A13" s="39"/>
      <c r="B13" s="40"/>
      <c r="C13" s="41"/>
      <c r="D13" s="43"/>
      <c r="E13" s="42"/>
      <c r="F13" s="109"/>
    </row>
    <row r="14" spans="1:6" x14ac:dyDescent="0.3">
      <c r="A14" s="39"/>
      <c r="B14" s="40"/>
      <c r="C14" s="36"/>
      <c r="D14" s="43"/>
      <c r="E14" s="42"/>
      <c r="F14" s="109"/>
    </row>
    <row r="15" spans="1:6" x14ac:dyDescent="0.3">
      <c r="A15" s="34" t="s">
        <v>59</v>
      </c>
      <c r="B15" s="35"/>
      <c r="C15" s="48"/>
      <c r="D15" s="43"/>
      <c r="E15" s="42"/>
      <c r="F15" s="109"/>
    </row>
    <row r="16" spans="1:6" x14ac:dyDescent="0.3">
      <c r="A16" s="39"/>
      <c r="B16" s="40" t="s">
        <v>60</v>
      </c>
      <c r="C16" s="41" t="s">
        <v>55</v>
      </c>
      <c r="D16" s="43">
        <v>116.97</v>
      </c>
      <c r="E16" s="42">
        <v>278.39</v>
      </c>
      <c r="F16" s="110">
        <f>(+E16/D16)-1</f>
        <v>1.3800119688809094</v>
      </c>
    </row>
    <row r="17" spans="1:6" x14ac:dyDescent="0.3">
      <c r="A17" s="39"/>
      <c r="B17" s="40" t="s">
        <v>61</v>
      </c>
      <c r="C17" s="41" t="s">
        <v>55</v>
      </c>
      <c r="D17" s="43">
        <v>168.15</v>
      </c>
      <c r="E17" s="42">
        <v>423.99</v>
      </c>
      <c r="F17" s="110">
        <f>(+E17/D17)-1</f>
        <v>1.5214986619090096</v>
      </c>
    </row>
    <row r="18" spans="1:6" x14ac:dyDescent="0.3">
      <c r="A18" s="39"/>
      <c r="B18" s="40"/>
      <c r="C18" s="36"/>
      <c r="D18" s="43"/>
      <c r="E18" s="42"/>
      <c r="F18" s="109"/>
    </row>
    <row r="19" spans="1:6" x14ac:dyDescent="0.3">
      <c r="A19" s="39"/>
      <c r="B19" s="40"/>
      <c r="C19" s="36"/>
      <c r="D19" s="43"/>
      <c r="E19" s="42"/>
      <c r="F19" s="109"/>
    </row>
    <row r="20" spans="1:6" x14ac:dyDescent="0.3">
      <c r="A20" s="34" t="s">
        <v>62</v>
      </c>
      <c r="B20" s="40"/>
      <c r="C20" s="41" t="s">
        <v>55</v>
      </c>
      <c r="D20" s="43">
        <v>15.420260000000001</v>
      </c>
      <c r="E20" s="42">
        <v>36.700209999999998</v>
      </c>
      <c r="F20" s="110">
        <f>(+E20/D20)-1</f>
        <v>1.3799994293222033</v>
      </c>
    </row>
    <row r="21" spans="1:6" x14ac:dyDescent="0.3">
      <c r="A21" s="39"/>
      <c r="B21" s="40"/>
      <c r="C21" s="36"/>
      <c r="D21" s="43"/>
      <c r="E21" s="42"/>
      <c r="F21" s="109"/>
    </row>
    <row r="22" spans="1:6" x14ac:dyDescent="0.3">
      <c r="A22" s="39"/>
      <c r="B22" s="40"/>
      <c r="C22" s="36"/>
      <c r="D22" s="43"/>
      <c r="E22" s="42"/>
      <c r="F22" s="109"/>
    </row>
    <row r="23" spans="1:6" x14ac:dyDescent="0.3">
      <c r="A23" s="34" t="s">
        <v>63</v>
      </c>
      <c r="B23" s="35"/>
      <c r="C23" s="36"/>
      <c r="D23" s="43"/>
      <c r="E23" s="42"/>
      <c r="F23" s="109"/>
    </row>
    <row r="24" spans="1:6" x14ac:dyDescent="0.3">
      <c r="A24" s="39"/>
      <c r="B24" s="40" t="s">
        <v>64</v>
      </c>
      <c r="C24" s="41" t="s">
        <v>55</v>
      </c>
      <c r="D24" s="43">
        <v>88.92</v>
      </c>
      <c r="E24" s="42">
        <v>211.63</v>
      </c>
      <c r="F24" s="110">
        <f>(+E24/D24)-1</f>
        <v>1.3800044984255511</v>
      </c>
    </row>
    <row r="25" spans="1:6" x14ac:dyDescent="0.3">
      <c r="A25" s="39"/>
      <c r="B25" s="40" t="s">
        <v>65</v>
      </c>
      <c r="C25" s="41" t="s">
        <v>66</v>
      </c>
      <c r="D25" s="43">
        <v>6.66</v>
      </c>
      <c r="E25" s="42">
        <v>15.85</v>
      </c>
      <c r="F25" s="110">
        <f>(+E25/D25)-1</f>
        <v>1.3798798798798799</v>
      </c>
    </row>
    <row r="26" spans="1:6" x14ac:dyDescent="0.3">
      <c r="A26" s="39"/>
      <c r="B26" s="40" t="s">
        <v>67</v>
      </c>
      <c r="C26" s="41" t="s">
        <v>66</v>
      </c>
      <c r="D26" s="43">
        <v>7.75</v>
      </c>
      <c r="E26" s="42">
        <v>18.440000000000001</v>
      </c>
      <c r="F26" s="110">
        <f>(+E26/D26)-1</f>
        <v>1.3793548387096775</v>
      </c>
    </row>
    <row r="27" spans="1:6" x14ac:dyDescent="0.3">
      <c r="A27" s="39"/>
      <c r="B27" s="40" t="s">
        <v>68</v>
      </c>
      <c r="C27" s="41" t="s">
        <v>66</v>
      </c>
      <c r="D27" s="43">
        <v>9.3699999999999992</v>
      </c>
      <c r="E27" s="42">
        <v>22.3</v>
      </c>
      <c r="F27" s="110">
        <f>(+E27/D27)-1</f>
        <v>1.3799359658484529</v>
      </c>
    </row>
    <row r="28" spans="1:6" x14ac:dyDescent="0.3">
      <c r="A28" s="39"/>
      <c r="B28" s="40" t="s">
        <v>69</v>
      </c>
      <c r="C28" s="41" t="s">
        <v>66</v>
      </c>
      <c r="D28" s="43">
        <v>11.26</v>
      </c>
      <c r="E28" s="42">
        <v>26.79</v>
      </c>
      <c r="F28" s="110">
        <f>(+E28/D28)-1</f>
        <v>1.3792184724689163</v>
      </c>
    </row>
    <row r="29" spans="1:6" x14ac:dyDescent="0.3">
      <c r="A29" s="52"/>
      <c r="B29" s="53"/>
      <c r="C29" s="54"/>
      <c r="D29" s="54"/>
      <c r="E29" s="111"/>
      <c r="F29" s="112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9EEC-BC37-4BD2-9650-EA886C84CBB6}">
  <dimension ref="A1:X43"/>
  <sheetViews>
    <sheetView topLeftCell="R1" zoomScale="80" zoomScaleNormal="80" workbookViewId="0">
      <selection activeCell="X26" sqref="X26"/>
    </sheetView>
  </sheetViews>
  <sheetFormatPr baseColWidth="10" defaultRowHeight="13.2" x14ac:dyDescent="0.25"/>
  <cols>
    <col min="1" max="1" width="11.33203125" customWidth="1"/>
    <col min="2" max="2" width="34.5546875" customWidth="1"/>
    <col min="3" max="3" width="12.33203125" customWidth="1"/>
    <col min="4" max="16" width="0" hidden="1" customWidth="1"/>
    <col min="17" max="18" width="24.6640625" customWidth="1"/>
    <col min="19" max="19" width="25.5546875" customWidth="1"/>
    <col min="20" max="20" width="24.6640625" customWidth="1"/>
    <col min="21" max="22" width="21.33203125" customWidth="1"/>
    <col min="23" max="23" width="16.44140625" customWidth="1"/>
    <col min="24" max="257" width="12.44140625" customWidth="1"/>
  </cols>
  <sheetData>
    <row r="1" spans="1:24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"/>
      <c r="V1" s="114" t="s">
        <v>0</v>
      </c>
    </row>
    <row r="2" spans="1:24" ht="14.4" x14ac:dyDescent="0.3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</row>
    <row r="3" spans="1:24" ht="14.4" x14ac:dyDescent="0.3">
      <c r="A3" s="5" t="s">
        <v>108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1"/>
      <c r="V3" s="1"/>
    </row>
    <row r="4" spans="1:24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ht="29.4" thickTop="1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9" t="s">
        <v>14</v>
      </c>
      <c r="T5" s="113" t="s">
        <v>15</v>
      </c>
      <c r="U5" s="9" t="s">
        <v>16</v>
      </c>
      <c r="V5" s="115" t="s">
        <v>105</v>
      </c>
    </row>
    <row r="6" spans="1:24" ht="14.4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15" t="s">
        <v>33</v>
      </c>
      <c r="T6" s="15" t="s">
        <v>34</v>
      </c>
      <c r="U6" s="15" t="s">
        <v>35</v>
      </c>
      <c r="V6" s="116" t="s">
        <v>106</v>
      </c>
    </row>
    <row r="7" spans="1:24" ht="15" thickBot="1" x14ac:dyDescent="0.35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22" t="s">
        <v>49</v>
      </c>
      <c r="T7" s="22" t="s">
        <v>50</v>
      </c>
      <c r="U7" s="22" t="s">
        <v>51</v>
      </c>
      <c r="V7" s="117" t="s">
        <v>107</v>
      </c>
      <c r="W7" s="24"/>
    </row>
    <row r="8" spans="1:24" ht="12.9" customHeight="1" thickBot="1" x14ac:dyDescent="0.35">
      <c r="A8" s="25"/>
      <c r="B8" s="26" t="s">
        <v>52</v>
      </c>
      <c r="C8" s="27"/>
      <c r="D8" s="28"/>
      <c r="E8" s="29">
        <f>0.2128/31*12</f>
        <v>8.2374193548387084E-2</v>
      </c>
      <c r="F8" s="30">
        <v>0.21280000000000002</v>
      </c>
      <c r="G8" s="29">
        <v>0.12872372116775888</v>
      </c>
      <c r="H8" s="30">
        <v>0.33253627968337712</v>
      </c>
      <c r="I8" s="29">
        <v>7.1113053927116393E-2</v>
      </c>
      <c r="J8" s="30">
        <v>9.5848029206113503E-2</v>
      </c>
      <c r="K8" s="31">
        <v>0.20175042348955402</v>
      </c>
      <c r="L8" s="31">
        <v>0.13259408917915702</v>
      </c>
      <c r="M8" s="29">
        <v>0.12449699232524369</v>
      </c>
      <c r="N8" s="29">
        <v>0.15620157898620202</v>
      </c>
      <c r="O8" s="29">
        <v>0.2451180599872369</v>
      </c>
      <c r="P8" s="29">
        <v>0.2451180599872369</v>
      </c>
      <c r="Q8" s="29">
        <v>0.11796806966618269</v>
      </c>
      <c r="R8" s="29">
        <v>0.40715930137958517</v>
      </c>
      <c r="S8" s="29">
        <v>0.2085804316762582</v>
      </c>
      <c r="T8" s="29">
        <v>1.3465981080781899</v>
      </c>
      <c r="U8" s="29">
        <f>(23.7069/19.0762)-1</f>
        <v>0.24274750736519857</v>
      </c>
      <c r="V8" s="29">
        <f>+X8*31/31</f>
        <v>0.31938380808962785</v>
      </c>
      <c r="X8" s="70">
        <f>(31.2785/23.7069)-1</f>
        <v>0.31938380808962785</v>
      </c>
    </row>
    <row r="9" spans="1:24" ht="14.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X9" s="70"/>
    </row>
    <row r="10" spans="1:24" ht="14.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44">
        <v>1529.7389390322585</v>
      </c>
      <c r="T10" s="44">
        <v>2970.1643400000007</v>
      </c>
      <c r="U10" s="44">
        <v>3691.01</v>
      </c>
      <c r="V10" s="44">
        <f>+U10*(1+$V$8)</f>
        <v>4869.8588294968977</v>
      </c>
      <c r="X10" s="74"/>
    </row>
    <row r="11" spans="1:24" ht="14.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44">
        <v>1820.3598627096774</v>
      </c>
      <c r="T11" s="44">
        <v>3534.4383359999997</v>
      </c>
      <c r="U11" s="44">
        <v>4392.24</v>
      </c>
      <c r="V11" s="44">
        <f t="shared" ref="V11:V13" si="0">+U11*(1+$V$8)</f>
        <v>5795.0503372435869</v>
      </c>
      <c r="X11" s="74"/>
    </row>
    <row r="12" spans="1:24" ht="14.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44">
        <v>1968.1265527741941</v>
      </c>
      <c r="T12" s="44">
        <v>3821.3443840000009</v>
      </c>
      <c r="U12" s="44">
        <v>4748.7700000000004</v>
      </c>
      <c r="V12" s="44">
        <f t="shared" si="0"/>
        <v>6265.450246341783</v>
      </c>
      <c r="X12" s="74"/>
    </row>
    <row r="13" spans="1:24" ht="14.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44">
        <v>1178.203555354839</v>
      </c>
      <c r="T13" s="44">
        <v>2287.6179040000002</v>
      </c>
      <c r="U13" s="44">
        <v>2842.82</v>
      </c>
      <c r="V13" s="44">
        <f t="shared" si="0"/>
        <v>3750.7706773133559</v>
      </c>
      <c r="X13" s="74"/>
    </row>
    <row r="14" spans="1:24" ht="14.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X14" s="74"/>
    </row>
    <row r="15" spans="1:24" ht="14.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X15" s="74"/>
    </row>
    <row r="16" spans="1:24" ht="14.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X16" s="74"/>
    </row>
    <row r="17" spans="1:24" ht="14.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44">
        <v>2735.1575031290317</v>
      </c>
      <c r="T17" s="44">
        <v>5310.623317999999</v>
      </c>
      <c r="U17" s="44">
        <v>6599.5</v>
      </c>
      <c r="V17" s="44">
        <f t="shared" ref="V17:V18" si="1">+U17*(1+$V$8)</f>
        <v>8707.2734414874994</v>
      </c>
      <c r="X17" s="74"/>
    </row>
    <row r="18" spans="1:24" ht="14.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44">
        <v>4165.6648218387108</v>
      </c>
      <c r="T18" s="44">
        <v>8088.1180380000014</v>
      </c>
      <c r="U18" s="44">
        <v>10051.1</v>
      </c>
      <c r="V18" s="44">
        <f t="shared" si="1"/>
        <v>13261.25859348966</v>
      </c>
      <c r="X18" s="74"/>
    </row>
    <row r="19" spans="1:24" ht="14.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X19" s="74"/>
    </row>
    <row r="20" spans="1:24" ht="14.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X20" s="74"/>
    </row>
    <row r="21" spans="1:24" ht="14.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44">
        <v>360.57636678009681</v>
      </c>
      <c r="T21" s="44">
        <v>700.10054600199999</v>
      </c>
      <c r="U21" s="44">
        <v>870.01</v>
      </c>
      <c r="V21" s="44">
        <f>+U21*(1+$V$8)</f>
        <v>1147.877106876057</v>
      </c>
      <c r="X21" s="74"/>
    </row>
    <row r="22" spans="1:24" ht="14.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X22" s="74"/>
    </row>
    <row r="23" spans="1:24" ht="14.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X23" s="74"/>
    </row>
    <row r="24" spans="1:24" ht="14.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X24" s="74"/>
    </row>
    <row r="25" spans="1:24" ht="14.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44">
        <v>2079.2463177096779</v>
      </c>
      <c r="T25" s="44">
        <v>4037.0962060000002</v>
      </c>
      <c r="U25" s="44">
        <v>5016.8999999999996</v>
      </c>
      <c r="V25" s="44">
        <f t="shared" ref="V25:V40" si="2">+U25*(1+$V$8)</f>
        <v>6619.2166268048531</v>
      </c>
      <c r="X25" s="74"/>
    </row>
    <row r="26" spans="1:24" ht="14.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44">
        <v>155.72486951612905</v>
      </c>
      <c r="T26" s="44">
        <v>302.35777000000002</v>
      </c>
      <c r="U26" s="44">
        <v>375.74</v>
      </c>
      <c r="V26" s="44">
        <f t="shared" si="2"/>
        <v>495.74527205159677</v>
      </c>
      <c r="X26" s="74"/>
    </row>
    <row r="27" spans="1:24" ht="14.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44">
        <v>181.17139393548382</v>
      </c>
      <c r="T27" s="44">
        <v>351.76512799999989</v>
      </c>
      <c r="U27" s="44">
        <v>437.14</v>
      </c>
      <c r="V27" s="44">
        <f t="shared" si="2"/>
        <v>576.75543786829985</v>
      </c>
      <c r="X27" s="74"/>
    </row>
    <row r="28" spans="1:24" ht="14.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44">
        <v>219.09555774193552</v>
      </c>
      <c r="T28" s="44">
        <v>425.39926000000003</v>
      </c>
      <c r="U28" s="44">
        <v>528.64</v>
      </c>
      <c r="V28" s="44">
        <f t="shared" si="2"/>
        <v>697.47905630850084</v>
      </c>
      <c r="X28" s="74"/>
    </row>
    <row r="29" spans="1:24" ht="14.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44">
        <v>263.20941667741931</v>
      </c>
      <c r="T29" s="44">
        <v>511.05139799999995</v>
      </c>
      <c r="U29" s="44">
        <v>635.08000000000004</v>
      </c>
      <c r="V29" s="44">
        <f t="shared" si="2"/>
        <v>837.9142688415609</v>
      </c>
      <c r="X29" s="74"/>
    </row>
    <row r="30" spans="1:24" ht="14.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X30" s="74"/>
    </row>
    <row r="31" spans="1:24" ht="14.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X31" s="74"/>
    </row>
    <row r="32" spans="1:24" ht="14.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44">
        <v>130.67134161290323</v>
      </c>
      <c r="T32" s="44">
        <v>253.71346</v>
      </c>
      <c r="U32" s="44">
        <v>315.27999999999997</v>
      </c>
      <c r="V32" s="44">
        <f t="shared" si="2"/>
        <v>415.97532701449785</v>
      </c>
      <c r="X32" s="74"/>
    </row>
    <row r="33" spans="1:24" ht="14.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44">
        <v>98435.212882645181</v>
      </c>
      <c r="T33" s="44">
        <v>191123.30322800003</v>
      </c>
      <c r="U33" s="44">
        <v>237508.92</v>
      </c>
      <c r="V33" s="44">
        <f t="shared" si="2"/>
        <v>313365.42332485481</v>
      </c>
      <c r="X33" s="74"/>
    </row>
    <row r="34" spans="1:24" ht="14.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X34" s="74"/>
    </row>
    <row r="35" spans="1:24" ht="14.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X35" s="74"/>
    </row>
    <row r="36" spans="1:24" ht="14.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44">
        <v>4540.1458937979669</v>
      </c>
      <c r="T36" s="44">
        <v>7718.2439734494919</v>
      </c>
      <c r="U36" s="44">
        <v>9591.4500000000007</v>
      </c>
      <c r="V36" s="44">
        <f t="shared" si="2"/>
        <v>12654.803826101263</v>
      </c>
      <c r="X36" s="74"/>
    </row>
    <row r="37" spans="1:24" ht="14.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44">
        <v>9026.8625719999982</v>
      </c>
      <c r="T37" s="44">
        <v>15345.658327999998</v>
      </c>
      <c r="U37" s="44">
        <v>19070.05</v>
      </c>
      <c r="V37" s="44">
        <f t="shared" si="2"/>
        <v>25160.715189459606</v>
      </c>
      <c r="X37" s="74"/>
    </row>
    <row r="38" spans="1:24" ht="14.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X38" s="74"/>
    </row>
    <row r="39" spans="1:24" ht="14.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X39" s="74"/>
    </row>
    <row r="40" spans="1:24" ht="14.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44">
        <v>572.89067138709686</v>
      </c>
      <c r="T40" s="44">
        <v>1112.3332220000002</v>
      </c>
      <c r="U40" s="44">
        <v>1382.29</v>
      </c>
      <c r="V40" s="44">
        <f t="shared" si="2"/>
        <v>1823.7710440842116</v>
      </c>
      <c r="X40" s="74"/>
    </row>
    <row r="41" spans="1:24" ht="14.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4" ht="15" thickBot="1" x14ac:dyDescent="0.35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4" ht="13.8" thickTop="1" x14ac:dyDescent="0.25"/>
  </sheetData>
  <sheetProtection selectLockedCells="1" selectUnlockedCells="1"/>
  <mergeCells count="1">
    <mergeCell ref="A6:B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7546-B4D4-491D-B334-E5D55331DAA9}">
  <dimension ref="A1:W42"/>
  <sheetViews>
    <sheetView zoomScale="80" zoomScaleNormal="80" workbookViewId="0">
      <selection activeCell="W25" sqref="W24:W25"/>
    </sheetView>
  </sheetViews>
  <sheetFormatPr baseColWidth="10" defaultRowHeight="13.2" x14ac:dyDescent="0.25"/>
  <cols>
    <col min="1" max="1" width="11.33203125" customWidth="1"/>
    <col min="2" max="2" width="34.5546875" customWidth="1"/>
    <col min="3" max="3" width="12.33203125" customWidth="1"/>
    <col min="4" max="16" width="0" hidden="1" customWidth="1"/>
    <col min="17" max="18" width="24.6640625" customWidth="1"/>
    <col min="19" max="19" width="25.5546875" customWidth="1"/>
    <col min="20" max="20" width="24.6640625" customWidth="1"/>
    <col min="21" max="21" width="21.33203125" customWidth="1"/>
    <col min="22" max="256" width="12.44140625" customWidth="1"/>
  </cols>
  <sheetData>
    <row r="1" spans="1:22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3" t="s">
        <v>0</v>
      </c>
    </row>
    <row r="2" spans="1:22" ht="14.4" x14ac:dyDescent="0.3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</row>
    <row r="3" spans="1:22" ht="14.4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1"/>
    </row>
    <row r="4" spans="1:22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28.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11" t="s">
        <v>14</v>
      </c>
      <c r="T5" s="12" t="s">
        <v>15</v>
      </c>
      <c r="U5" s="11" t="s">
        <v>16</v>
      </c>
    </row>
    <row r="6" spans="1:22" ht="14.4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16" t="s">
        <v>33</v>
      </c>
      <c r="T6" s="16" t="s">
        <v>34</v>
      </c>
      <c r="U6" s="16" t="s">
        <v>35</v>
      </c>
    </row>
    <row r="7" spans="1:22" ht="14.4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23" t="s">
        <v>49</v>
      </c>
      <c r="T7" s="23" t="s">
        <v>50</v>
      </c>
      <c r="U7" s="23" t="s">
        <v>51</v>
      </c>
      <c r="V7" s="24"/>
    </row>
    <row r="8" spans="1:22" ht="12.9" customHeight="1" x14ac:dyDescent="0.3">
      <c r="A8" s="25"/>
      <c r="B8" s="26" t="s">
        <v>52</v>
      </c>
      <c r="C8" s="27"/>
      <c r="D8" s="28"/>
      <c r="E8" s="29">
        <f>0.2128/31*12</f>
        <v>8.2374193548387112E-2</v>
      </c>
      <c r="F8" s="30">
        <v>0.21280000000000002</v>
      </c>
      <c r="G8" s="29">
        <v>0.12872372116775888</v>
      </c>
      <c r="H8" s="30">
        <v>0.33253627968337712</v>
      </c>
      <c r="I8" s="29">
        <v>7.1113053927116393E-2</v>
      </c>
      <c r="J8" s="30">
        <v>9.5848029206113503E-2</v>
      </c>
      <c r="K8" s="31">
        <v>0.20175042348955402</v>
      </c>
      <c r="L8" s="31">
        <v>0.13259408917915702</v>
      </c>
      <c r="M8" s="29">
        <v>0.12449699232524369</v>
      </c>
      <c r="N8" s="29">
        <v>0.15620157898620202</v>
      </c>
      <c r="O8" s="29">
        <v>0.2451180599872369</v>
      </c>
      <c r="P8" s="29">
        <v>0.2451180599872369</v>
      </c>
      <c r="Q8" s="29">
        <v>0.11796806966618269</v>
      </c>
      <c r="R8" s="29">
        <v>0.40715930137958517</v>
      </c>
      <c r="S8" s="32">
        <v>0.2085804316762582</v>
      </c>
      <c r="T8" s="32">
        <f>U8*31/31</f>
        <v>1.3465981080781861</v>
      </c>
      <c r="U8" s="33">
        <f>(19.0762/8.1293)-1</f>
        <v>1.3465981080781861</v>
      </c>
    </row>
    <row r="9" spans="1:22" ht="14.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  <c r="T9" s="37"/>
      <c r="U9" s="38">
        <v>0.2427</v>
      </c>
    </row>
    <row r="10" spans="1:22" ht="14.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45">
        <f>+R10*(1+S$8)</f>
        <v>1529.7389390322585</v>
      </c>
      <c r="T10" s="45">
        <f>+R10*(1+T$8)</f>
        <v>2970.1643400000007</v>
      </c>
      <c r="U10" s="46">
        <v>3691.01</v>
      </c>
    </row>
    <row r="11" spans="1:22" ht="14.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45">
        <f>+R11*(1+S$8)</f>
        <v>1820.3598627096774</v>
      </c>
      <c r="T11" s="45">
        <f>+R11*(1+T$8)</f>
        <v>3534.4383359999997</v>
      </c>
      <c r="U11" s="47">
        <v>4392.24</v>
      </c>
    </row>
    <row r="12" spans="1:22" ht="14.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45">
        <f>+R12*(1+S$8)</f>
        <v>1968.1265527741941</v>
      </c>
      <c r="T12" s="45">
        <f>+R12*(1+T$8)</f>
        <v>3821.3443840000009</v>
      </c>
      <c r="U12" s="47">
        <v>4748.7700000000004</v>
      </c>
    </row>
    <row r="13" spans="1:22" ht="14.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45">
        <f>+R13*(1+S$8)</f>
        <v>1178.203555354839</v>
      </c>
      <c r="T13" s="45">
        <f>+R13*(1+T$8)</f>
        <v>2287.6179040000002</v>
      </c>
      <c r="U13" s="47">
        <v>2842.82</v>
      </c>
    </row>
    <row r="14" spans="1:22" ht="14.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47"/>
    </row>
    <row r="15" spans="1:22" ht="14.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47"/>
    </row>
    <row r="16" spans="1:22" ht="14.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47"/>
    </row>
    <row r="17" spans="1:23" ht="14.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45">
        <f>+R17*(1+S$8)</f>
        <v>2735.1575031290317</v>
      </c>
      <c r="T17" s="45">
        <f>+R17*(1+T$8)</f>
        <v>5310.623317999999</v>
      </c>
      <c r="U17" s="47">
        <v>6599.5</v>
      </c>
    </row>
    <row r="18" spans="1:23" ht="14.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45">
        <f>+R18*(1+S$8)</f>
        <v>4165.6648218387108</v>
      </c>
      <c r="T18" s="45">
        <f>+R18*(1+T$8)</f>
        <v>8088.1180380000014</v>
      </c>
      <c r="U18" s="47">
        <v>10051.1</v>
      </c>
    </row>
    <row r="19" spans="1:23" ht="14.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45"/>
      <c r="U19" s="47"/>
    </row>
    <row r="20" spans="1:23" ht="14.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45"/>
      <c r="T20" s="45"/>
      <c r="U20" s="47"/>
    </row>
    <row r="21" spans="1:23" ht="14.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45">
        <f>+R21*(1+S$8)</f>
        <v>360.57636678009681</v>
      </c>
      <c r="T21" s="45">
        <f>+R21*(1+T$8)</f>
        <v>700.10054600199999</v>
      </c>
      <c r="U21" s="47">
        <v>870.01</v>
      </c>
    </row>
    <row r="22" spans="1:23" ht="14.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5"/>
      <c r="U22" s="47"/>
    </row>
    <row r="23" spans="1:23" ht="14.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45"/>
      <c r="T23" s="45"/>
      <c r="U23" s="47"/>
      <c r="W23" s="49"/>
    </row>
    <row r="24" spans="1:23" ht="14.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45"/>
      <c r="U24" s="47"/>
    </row>
    <row r="25" spans="1:23" ht="14.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45">
        <f>+R25*(1+S$8)</f>
        <v>2079.2463177096779</v>
      </c>
      <c r="T25" s="45">
        <f>+R25*(1+T$8)</f>
        <v>4037.0962060000002</v>
      </c>
      <c r="U25" s="47">
        <v>5016.8999999999996</v>
      </c>
    </row>
    <row r="26" spans="1:23" ht="14.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45">
        <f>+R26*(1+S$8)</f>
        <v>155.72486951612905</v>
      </c>
      <c r="T26" s="45">
        <f>+R26*(1+T$8)</f>
        <v>302.35777000000002</v>
      </c>
      <c r="U26" s="47">
        <v>375.74</v>
      </c>
    </row>
    <row r="27" spans="1:23" ht="14.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45">
        <f>+R27*(1+S$8)</f>
        <v>181.17139393548382</v>
      </c>
      <c r="T27" s="45">
        <f>+R27*(1+T$8)</f>
        <v>351.76512799999989</v>
      </c>
      <c r="U27" s="47">
        <v>437.14</v>
      </c>
    </row>
    <row r="28" spans="1:23" ht="14.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45">
        <f>+R28*(1+S$8)</f>
        <v>219.09555774193552</v>
      </c>
      <c r="T28" s="45">
        <f>+R28*(1+T$8)</f>
        <v>425.39926000000003</v>
      </c>
      <c r="U28" s="47">
        <v>528.64</v>
      </c>
    </row>
    <row r="29" spans="1:23" ht="14.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45">
        <f>+R29*(1+S$8)</f>
        <v>263.20941667741931</v>
      </c>
      <c r="T29" s="45">
        <f>+R29*(1+T$8)</f>
        <v>511.05139799999995</v>
      </c>
      <c r="U29" s="47">
        <v>635.08000000000004</v>
      </c>
    </row>
    <row r="30" spans="1:23" ht="14.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45"/>
      <c r="U30" s="47"/>
    </row>
    <row r="31" spans="1:23" ht="14.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7"/>
    </row>
    <row r="32" spans="1:23" ht="14.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45">
        <f>+R32*(1+S$8)</f>
        <v>130.67134161290323</v>
      </c>
      <c r="T32" s="45">
        <f>+R32*(1+T$8)</f>
        <v>253.71346</v>
      </c>
      <c r="U32" s="47">
        <v>315.27999999999997</v>
      </c>
    </row>
    <row r="33" spans="1:21" ht="14.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45">
        <f>+R33*(1+S$8)</f>
        <v>98435.212882645181</v>
      </c>
      <c r="T33" s="45">
        <f>+R33*(1+T$8)</f>
        <v>191123.30322800003</v>
      </c>
      <c r="U33" s="47">
        <v>237508.92</v>
      </c>
    </row>
    <row r="34" spans="1:21" ht="14.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45"/>
      <c r="U34" s="47"/>
    </row>
    <row r="35" spans="1:21" ht="14.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45"/>
      <c r="U35" s="47"/>
    </row>
    <row r="36" spans="1:21" ht="14.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45">
        <v>4540.1458937979669</v>
      </c>
      <c r="T36" s="45">
        <f>+R36*(1+T$8)</f>
        <v>7718.2439734494919</v>
      </c>
      <c r="U36" s="47">
        <v>9591.4500000000007</v>
      </c>
    </row>
    <row r="37" spans="1:21" ht="14.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45">
        <v>9026.8625719999982</v>
      </c>
      <c r="T37" s="45">
        <f>+R37*(1+T$8)</f>
        <v>15345.658327999998</v>
      </c>
      <c r="U37" s="47">
        <v>19070.05</v>
      </c>
    </row>
    <row r="38" spans="1:21" ht="14.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7"/>
    </row>
    <row r="39" spans="1:21" ht="14.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5"/>
      <c r="U39" s="47"/>
    </row>
    <row r="40" spans="1:21" ht="14.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45">
        <f>+R40*(1+S$8)</f>
        <v>572.89067138709686</v>
      </c>
      <c r="T40" s="45">
        <f>+R40*(1+T$8)</f>
        <v>1112.3332220000002</v>
      </c>
      <c r="U40" s="47">
        <v>1382.29</v>
      </c>
    </row>
    <row r="41" spans="1:21" ht="14.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51"/>
    </row>
    <row r="42" spans="1:21" ht="14.4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5"/>
      <c r="T42" s="55"/>
      <c r="U42" s="56"/>
    </row>
  </sheetData>
  <sheetProtection selectLockedCells="1" selectUnlockedCells="1"/>
  <mergeCells count="1">
    <mergeCell ref="A6:B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7050-932F-405C-B916-0AA6DFCAD30B}">
  <sheetPr>
    <pageSetUpPr fitToPage="1"/>
  </sheetPr>
  <dimension ref="A1:V44"/>
  <sheetViews>
    <sheetView zoomScale="80" zoomScaleNormal="80" workbookViewId="0">
      <selection activeCell="A8" sqref="A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6" width="0" style="1" hidden="1" customWidth="1"/>
    <col min="17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5" t="s">
        <v>80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</row>
    <row r="5" spans="1:22" ht="28.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57" t="s">
        <v>14</v>
      </c>
      <c r="T5" s="58" t="s">
        <v>15</v>
      </c>
    </row>
    <row r="6" spans="1:22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59" t="s">
        <v>33</v>
      </c>
      <c r="T6" s="59" t="s">
        <v>34</v>
      </c>
    </row>
    <row r="7" spans="1:22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60" t="s">
        <v>49</v>
      </c>
      <c r="T7" s="60" t="s">
        <v>50</v>
      </c>
    </row>
    <row r="8" spans="1:2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5">
        <v>0.40715930137958517</v>
      </c>
      <c r="S8" s="68">
        <v>0.2085804316762582</v>
      </c>
      <c r="T8" s="69">
        <f>U8*31/31</f>
        <v>1.3465981080781861</v>
      </c>
      <c r="U8" s="70">
        <f>(19.0762/8.1293)-1</f>
        <v>1.3465981080781861</v>
      </c>
    </row>
    <row r="9" spans="1:22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71"/>
      <c r="T9" s="71"/>
    </row>
    <row r="10" spans="1:2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72">
        <f>+R10*(1+S$8)</f>
        <v>1529.7389390322585</v>
      </c>
      <c r="T10" s="72">
        <f>+R10*(1+T$8)</f>
        <v>2970.1643400000007</v>
      </c>
      <c r="U10" s="73"/>
      <c r="V10" s="74"/>
    </row>
    <row r="11" spans="1:2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72">
        <f>+R11*(1+S$8)</f>
        <v>1820.3598627096774</v>
      </c>
      <c r="T11" s="72">
        <f>+R11*(1+T$8)</f>
        <v>3534.4383359999997</v>
      </c>
      <c r="U11" s="73"/>
      <c r="V11" s="74"/>
    </row>
    <row r="12" spans="1:2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72">
        <f>+R12*(1+S$8)</f>
        <v>1968.1265527741941</v>
      </c>
      <c r="T12" s="72">
        <f>+R12*(1+T$8)</f>
        <v>3821.3443840000009</v>
      </c>
      <c r="U12" s="73"/>
      <c r="V12" s="74"/>
    </row>
    <row r="13" spans="1:2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72">
        <f>+R13*(1+S$8)</f>
        <v>1178.203555354839</v>
      </c>
      <c r="T13" s="72">
        <f>+R13*(1+T$8)</f>
        <v>2287.6179040000002</v>
      </c>
      <c r="U13" s="73"/>
      <c r="V13" s="74"/>
    </row>
    <row r="14" spans="1:22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72"/>
      <c r="T14" s="72"/>
      <c r="U14" s="73"/>
      <c r="V14" s="74"/>
    </row>
    <row r="15" spans="1:22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72"/>
      <c r="T15" s="72"/>
      <c r="U15" s="73"/>
      <c r="V15" s="74"/>
    </row>
    <row r="16" spans="1:22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72"/>
      <c r="T16" s="72"/>
      <c r="U16" s="73"/>
      <c r="V16" s="74"/>
    </row>
    <row r="17" spans="1:2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72">
        <f>+R17*(1+S$8)</f>
        <v>2735.1575031290317</v>
      </c>
      <c r="T17" s="72">
        <f>+R17*(1+T$8)</f>
        <v>5310.623317999999</v>
      </c>
      <c r="U17" s="73"/>
      <c r="V17" s="74"/>
    </row>
    <row r="18" spans="1:2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72">
        <f>+R18*(1+S$8)</f>
        <v>4165.6648218387108</v>
      </c>
      <c r="T18" s="72">
        <f>+R18*(1+T$8)</f>
        <v>8088.1180380000014</v>
      </c>
      <c r="U18" s="73"/>
      <c r="V18" s="74"/>
    </row>
    <row r="19" spans="1:22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72"/>
      <c r="T19" s="72"/>
      <c r="U19" s="73"/>
      <c r="V19" s="74"/>
    </row>
    <row r="20" spans="1:22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72"/>
      <c r="T20" s="72"/>
      <c r="U20" s="73"/>
      <c r="V20" s="74"/>
    </row>
    <row r="21" spans="1:2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72">
        <f>+R21*(1+S$8)</f>
        <v>360.57636678009681</v>
      </c>
      <c r="T21" s="72">
        <f>+R21*(1+T$8)</f>
        <v>700.10054600199999</v>
      </c>
      <c r="U21" s="73"/>
      <c r="V21" s="74"/>
    </row>
    <row r="22" spans="1:22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72"/>
      <c r="T22" s="72"/>
      <c r="U22" s="73"/>
      <c r="V22" s="74"/>
    </row>
    <row r="23" spans="1:22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72"/>
      <c r="T23" s="72"/>
      <c r="U23" s="73"/>
      <c r="V23" s="74"/>
    </row>
    <row r="24" spans="1:22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72"/>
      <c r="T24" s="72"/>
      <c r="U24" s="73"/>
      <c r="V24" s="74"/>
    </row>
    <row r="25" spans="1:2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72">
        <f>+R25*(1+S$8)</f>
        <v>2079.2463177096779</v>
      </c>
      <c r="T25" s="72">
        <f>+R25*(1+T$8)</f>
        <v>4037.0962060000002</v>
      </c>
      <c r="U25" s="73"/>
      <c r="V25" s="74"/>
    </row>
    <row r="26" spans="1:2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72">
        <f>+R26*(1+S$8)</f>
        <v>155.72486951612905</v>
      </c>
      <c r="T26" s="72">
        <f>+R26*(1+T$8)</f>
        <v>302.35777000000002</v>
      </c>
      <c r="U26" s="73"/>
      <c r="V26" s="74"/>
    </row>
    <row r="27" spans="1:2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72">
        <f>+R27*(1+S$8)</f>
        <v>181.17139393548382</v>
      </c>
      <c r="T27" s="72">
        <f>+R27*(1+T$8)</f>
        <v>351.76512799999989</v>
      </c>
      <c r="U27" s="73"/>
      <c r="V27" s="74"/>
    </row>
    <row r="28" spans="1:2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72">
        <f>+R28*(1+S$8)</f>
        <v>219.09555774193552</v>
      </c>
      <c r="T28" s="72">
        <f>+R28*(1+T$8)</f>
        <v>425.39926000000003</v>
      </c>
      <c r="U28" s="73"/>
      <c r="V28" s="74"/>
    </row>
    <row r="29" spans="1:2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72">
        <f>+R29*(1+S$8)</f>
        <v>263.20941667741931</v>
      </c>
      <c r="T29" s="72">
        <f>+R29*(1+T$8)</f>
        <v>511.05139799999995</v>
      </c>
      <c r="U29" s="73"/>
      <c r="V29" s="74"/>
    </row>
    <row r="30" spans="1:22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72"/>
      <c r="T30" s="72"/>
      <c r="U30" s="73"/>
      <c r="V30" s="74"/>
    </row>
    <row r="31" spans="1:22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72"/>
      <c r="T31" s="72"/>
      <c r="U31" s="73"/>
      <c r="V31" s="74"/>
    </row>
    <row r="32" spans="1:2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72">
        <f>+R32*(1+S$8)</f>
        <v>130.67134161290323</v>
      </c>
      <c r="T32" s="72">
        <f>+R32*(1+T$8)</f>
        <v>253.71346</v>
      </c>
      <c r="U32" s="73"/>
      <c r="V32" s="74"/>
    </row>
    <row r="33" spans="1:2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72">
        <f>+R33*(1+S$8)</f>
        <v>98435.212882645181</v>
      </c>
      <c r="T33" s="72">
        <f>+R33*(1+T$8)</f>
        <v>191123.30322800003</v>
      </c>
      <c r="U33" s="73"/>
      <c r="V33" s="74"/>
    </row>
    <row r="34" spans="1:22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72"/>
      <c r="T34" s="72"/>
      <c r="U34" s="73"/>
      <c r="V34" s="74"/>
    </row>
    <row r="35" spans="1:22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72"/>
      <c r="T35" s="72"/>
      <c r="U35" s="73"/>
      <c r="V35" s="74"/>
    </row>
    <row r="36" spans="1:2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75">
        <v>4540.1458937979669</v>
      </c>
      <c r="T36" s="75">
        <f>+R36*(1+T$8)</f>
        <v>7718.2439734494919</v>
      </c>
      <c r="U36" s="73"/>
      <c r="V36" s="74"/>
    </row>
    <row r="37" spans="1:2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75">
        <v>9026.8625719999982</v>
      </c>
      <c r="T37" s="75">
        <f>+R37*(1+T$8)</f>
        <v>15345.658327999998</v>
      </c>
      <c r="U37" s="73"/>
      <c r="V37" s="74"/>
    </row>
    <row r="38" spans="1:22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2"/>
      <c r="T38" s="72"/>
      <c r="U38" s="73"/>
      <c r="V38" s="74"/>
    </row>
    <row r="39" spans="1:22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2"/>
      <c r="T39" s="72"/>
      <c r="U39" s="73"/>
      <c r="V39" s="74"/>
    </row>
    <row r="40" spans="1:22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72">
        <f>+R40*(1+S$8)</f>
        <v>572.89067138709686</v>
      </c>
      <c r="T40" s="72">
        <f>+R40*(1+T$8)</f>
        <v>1112.3332220000002</v>
      </c>
      <c r="U40" s="73"/>
      <c r="V40" s="74"/>
    </row>
    <row r="41" spans="1:22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2"/>
      <c r="T41" s="72"/>
      <c r="U41" s="76"/>
      <c r="V41" s="77"/>
    </row>
    <row r="42" spans="1:22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78"/>
      <c r="T42" s="78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52FC-1AE1-4FA9-B095-49C2EC25E36B}">
  <sheetPr>
    <pageSetUpPr fitToPage="1"/>
  </sheetPr>
  <dimension ref="A1:V44"/>
  <sheetViews>
    <sheetView zoomScale="80" zoomScaleNormal="80" workbookViewId="0">
      <selection activeCell="S8" sqref="S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0" style="1" hidden="1" customWidth="1"/>
    <col min="15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5" t="s">
        <v>81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</row>
    <row r="5" spans="1:22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57" t="s">
        <v>14</v>
      </c>
      <c r="T5" s="79" t="s">
        <v>14</v>
      </c>
    </row>
    <row r="6" spans="1:22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59" t="s">
        <v>33</v>
      </c>
      <c r="T6" s="80" t="s">
        <v>34</v>
      </c>
    </row>
    <row r="7" spans="1:22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60" t="s">
        <v>49</v>
      </c>
      <c r="T7" s="81" t="s">
        <v>50</v>
      </c>
    </row>
    <row r="8" spans="1:2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5">
        <v>0.40715930137958517</v>
      </c>
      <c r="S8" s="69">
        <f>U8*17/31</f>
        <v>0.2085804316762582</v>
      </c>
      <c r="T8" s="82">
        <f>U8*31/31</f>
        <v>0.38035255188023553</v>
      </c>
      <c r="U8" s="70">
        <f>(11.2213/8.1293)-1</f>
        <v>0.38035255188023553</v>
      </c>
    </row>
    <row r="9" spans="1:22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71"/>
      <c r="T9" s="71"/>
    </row>
    <row r="10" spans="1:2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72">
        <f>+R10*(1+S$8)</f>
        <v>1529.7389390322585</v>
      </c>
      <c r="T10" s="72">
        <f>+R10*(1+T$8)</f>
        <v>1747.1564100000003</v>
      </c>
      <c r="U10" s="73"/>
      <c r="V10" s="74"/>
    </row>
    <row r="11" spans="1:2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72">
        <f>+R11*(1+S$8)</f>
        <v>1820.3598627096774</v>
      </c>
      <c r="T11" s="72">
        <f>+R11*(1+T$8)</f>
        <v>2079.0824639999996</v>
      </c>
      <c r="U11" s="73"/>
      <c r="V11" s="74"/>
    </row>
    <row r="12" spans="1:2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72">
        <f>+R12*(1+S$8)</f>
        <v>1968.1265527741941</v>
      </c>
      <c r="T12" s="72">
        <f>+R12*(1+T$8)</f>
        <v>2247.8508160000001</v>
      </c>
      <c r="U12" s="73"/>
      <c r="V12" s="74"/>
    </row>
    <row r="13" spans="1:2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72">
        <f>+R13*(1+S$8)</f>
        <v>1178.203555354839</v>
      </c>
      <c r="T13" s="72">
        <f>+R13*(1+T$8)</f>
        <v>1345.6582960000001</v>
      </c>
      <c r="U13" s="73"/>
      <c r="V13" s="74"/>
    </row>
    <row r="14" spans="1:22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72"/>
      <c r="T14" s="72"/>
      <c r="U14" s="73"/>
      <c r="V14" s="74"/>
    </row>
    <row r="15" spans="1:22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72"/>
      <c r="T15" s="72"/>
      <c r="U15" s="73"/>
      <c r="V15" s="74"/>
    </row>
    <row r="16" spans="1:22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72"/>
      <c r="T16" s="72"/>
      <c r="U16" s="73"/>
      <c r="V16" s="74"/>
    </row>
    <row r="17" spans="1:2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72">
        <f>+R17*(1+S$8)</f>
        <v>2735.1575031290317</v>
      </c>
      <c r="T17" s="72">
        <f>+R17*(1+T$8)</f>
        <v>3123.8977069999992</v>
      </c>
      <c r="U17" s="73"/>
      <c r="V17" s="74"/>
    </row>
    <row r="18" spans="1:2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72">
        <f>+R18*(1+S$8)</f>
        <v>4165.6648218387108</v>
      </c>
      <c r="T18" s="72">
        <f>+R18*(1+T$8)</f>
        <v>4757.7189870000011</v>
      </c>
      <c r="U18" s="73"/>
      <c r="V18" s="74"/>
    </row>
    <row r="19" spans="1:22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72"/>
      <c r="T19" s="72"/>
      <c r="U19" s="73"/>
      <c r="V19" s="74"/>
    </row>
    <row r="20" spans="1:22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72"/>
      <c r="T20" s="72"/>
      <c r="U20" s="73"/>
      <c r="V20" s="74"/>
    </row>
    <row r="21" spans="1:2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72">
        <f>+R21*(1+S$8)</f>
        <v>360.57636678009681</v>
      </c>
      <c r="T21" s="72">
        <f>+R21*(1+T$8)</f>
        <v>411.82406647299996</v>
      </c>
      <c r="U21" s="73"/>
      <c r="V21" s="74"/>
    </row>
    <row r="22" spans="1:22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72"/>
      <c r="T22" s="72"/>
      <c r="U22" s="73"/>
      <c r="V22" s="74"/>
    </row>
    <row r="23" spans="1:22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72"/>
      <c r="T23" s="72"/>
      <c r="U23" s="73"/>
      <c r="V23" s="74"/>
    </row>
    <row r="24" spans="1:22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72"/>
      <c r="T24" s="72"/>
      <c r="U24" s="73"/>
      <c r="V24" s="74"/>
    </row>
    <row r="25" spans="1:2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72">
        <f>+R25*(1+S$8)</f>
        <v>2079.2463177096779</v>
      </c>
      <c r="T25" s="72">
        <f>+R25*(1+T$8)</f>
        <v>2374.763719</v>
      </c>
      <c r="U25" s="73"/>
      <c r="V25" s="74"/>
    </row>
    <row r="26" spans="1:2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72">
        <f>+R26*(1+S$8)</f>
        <v>155.72486951612905</v>
      </c>
      <c r="T26" s="72">
        <f>+R26*(1+T$8)</f>
        <v>177.85760500000001</v>
      </c>
      <c r="U26" s="73"/>
      <c r="V26" s="74"/>
    </row>
    <row r="27" spans="1:2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72">
        <f>+R27*(1+S$8)</f>
        <v>181.17139393548382</v>
      </c>
      <c r="T27" s="72">
        <f>+R27*(1+T$8)</f>
        <v>206.92077199999994</v>
      </c>
      <c r="U27" s="73"/>
      <c r="V27" s="74"/>
    </row>
    <row r="28" spans="1:2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72">
        <f>+R28*(1+S$8)</f>
        <v>219.09555774193552</v>
      </c>
      <c r="T28" s="72">
        <f>+R28*(1+T$8)</f>
        <v>250.23499000000001</v>
      </c>
      <c r="U28" s="73"/>
      <c r="V28" s="74"/>
    </row>
    <row r="29" spans="1:2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72">
        <f>+R29*(1+S$8)</f>
        <v>263.20941667741931</v>
      </c>
      <c r="T29" s="72">
        <f>+R29*(1+T$8)</f>
        <v>300.61862699999995</v>
      </c>
      <c r="U29" s="73"/>
      <c r="V29" s="74"/>
    </row>
    <row r="30" spans="1:22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72"/>
      <c r="T30" s="72"/>
      <c r="U30" s="73"/>
      <c r="V30" s="74"/>
    </row>
    <row r="31" spans="1:22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72"/>
      <c r="T31" s="72"/>
      <c r="U31" s="73"/>
      <c r="V31" s="74"/>
    </row>
    <row r="32" spans="1:2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72">
        <f>+R32*(1+S$8)</f>
        <v>130.67134161290323</v>
      </c>
      <c r="T32" s="72">
        <f>+R32*(1+T$8)</f>
        <v>149.24329</v>
      </c>
      <c r="U32" s="73"/>
      <c r="V32" s="74"/>
    </row>
    <row r="33" spans="1:2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72">
        <f>+R33*(1+S$8)</f>
        <v>98435.212882645181</v>
      </c>
      <c r="T33" s="72">
        <f>+R33*(1+T$8)</f>
        <v>112425.53142200001</v>
      </c>
      <c r="U33" s="73"/>
      <c r="V33" s="74"/>
    </row>
    <row r="34" spans="1:22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72"/>
      <c r="T34" s="72"/>
      <c r="U34" s="73"/>
      <c r="V34" s="74"/>
    </row>
    <row r="35" spans="1:22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72"/>
      <c r="T35" s="72"/>
      <c r="U35" s="73"/>
      <c r="V35" s="74"/>
    </row>
    <row r="36" spans="1:2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75">
        <f>+R36*(1+T$8)</f>
        <v>4540.1458937979669</v>
      </c>
      <c r="T36" s="75">
        <f>+R36*(1+T$8)</f>
        <v>4540.1458937979669</v>
      </c>
      <c r="U36" s="73"/>
      <c r="V36" s="74"/>
    </row>
    <row r="37" spans="1:2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75">
        <f>+R37*(1+T$8)</f>
        <v>9026.8625719999982</v>
      </c>
      <c r="T37" s="75">
        <f>+R37*(1+T$8)</f>
        <v>9026.8625719999982</v>
      </c>
      <c r="U37" s="73"/>
      <c r="V37" s="74"/>
    </row>
    <row r="38" spans="1:22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2"/>
      <c r="T38" s="72"/>
      <c r="U38" s="73"/>
      <c r="V38" s="74"/>
    </row>
    <row r="39" spans="1:22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2"/>
      <c r="T39" s="72"/>
      <c r="U39" s="73"/>
      <c r="V39" s="74"/>
    </row>
    <row r="40" spans="1:22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72">
        <f>+R40*(1+S$8)</f>
        <v>572.89067138709686</v>
      </c>
      <c r="T40" s="72">
        <f>+R40*(1+T$8)</f>
        <v>654.31400300000007</v>
      </c>
      <c r="U40" s="73"/>
      <c r="V40" s="74"/>
    </row>
    <row r="41" spans="1:22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2"/>
      <c r="T41" s="72"/>
      <c r="U41" s="76"/>
      <c r="V41" s="77"/>
    </row>
    <row r="42" spans="1:22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78"/>
      <c r="T42" s="78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531C9-8402-456D-BD35-5F058C596410}">
  <sheetPr>
    <pageSetUpPr fitToPage="1"/>
  </sheetPr>
  <dimension ref="A1:U44"/>
  <sheetViews>
    <sheetView zoomScale="90" zoomScaleNormal="90" workbookViewId="0">
      <selection activeCell="V14" sqref="V14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0" style="1" hidden="1" customWidth="1"/>
    <col min="15" max="17" width="24.6640625" style="1" customWidth="1"/>
    <col min="18" max="18" width="25.5546875" style="1" customWidth="1"/>
    <col min="19" max="19" width="24.6640625" style="1" customWidth="1"/>
    <col min="20" max="20" width="21.33203125" style="1" customWidth="1"/>
    <col min="21" max="21" width="12.33203125" style="1" customWidth="1"/>
    <col min="22" max="16384" width="10.6640625" style="1"/>
  </cols>
  <sheetData>
    <row r="1" spans="1:21" x14ac:dyDescent="0.3">
      <c r="R1" s="3" t="s">
        <v>0</v>
      </c>
      <c r="S1" s="3" t="s">
        <v>0</v>
      </c>
    </row>
    <row r="2" spans="1:21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3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</row>
    <row r="5" spans="1:21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57" t="s">
        <v>13</v>
      </c>
      <c r="S5" s="79" t="s">
        <v>13</v>
      </c>
    </row>
    <row r="6" spans="1:21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59" t="s">
        <v>83</v>
      </c>
      <c r="S6" s="80" t="s">
        <v>32</v>
      </c>
    </row>
    <row r="7" spans="1:21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60" t="s">
        <v>84</v>
      </c>
      <c r="S7" s="81" t="s">
        <v>48</v>
      </c>
    </row>
    <row r="8" spans="1:21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9">
        <f>T8*14/31</f>
        <v>0.18387839417142551</v>
      </c>
      <c r="S8" s="82">
        <f>T8*31/31</f>
        <v>0.40715930137958511</v>
      </c>
      <c r="T8" s="70">
        <f>(8.1293/5.7771)-1</f>
        <v>0.40715930137958511</v>
      </c>
    </row>
    <row r="9" spans="1:21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71"/>
      <c r="S9" s="71"/>
    </row>
    <row r="10" spans="1:21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72">
        <f>+Q10*(1+R$8)</f>
        <v>1064.8920687096775</v>
      </c>
      <c r="S10" s="72">
        <f>+Q10*(1+S$8)</f>
        <v>1265.7320100000004</v>
      </c>
      <c r="T10" s="73"/>
      <c r="U10" s="76"/>
    </row>
    <row r="11" spans="1:21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72">
        <f>+Q11*(1+R$8)</f>
        <v>1267.201043612903</v>
      </c>
      <c r="S11" s="72">
        <f>+Q11*(1+S$8)</f>
        <v>1506.196704</v>
      </c>
      <c r="T11" s="73"/>
      <c r="U11" s="76"/>
    </row>
    <row r="12" spans="1:21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72">
        <f>+Q12*(1+R$8)</f>
        <v>1370.0653770322583</v>
      </c>
      <c r="S12" s="72">
        <f>+Q12*(1+S$8)</f>
        <v>1628.4613760000004</v>
      </c>
      <c r="T12" s="73"/>
      <c r="U12" s="76"/>
    </row>
    <row r="13" spans="1:21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72">
        <f>+Q13*(1+R$8)</f>
        <v>820.17891380645165</v>
      </c>
      <c r="S13" s="72">
        <f>+Q13*(1+S$8)</f>
        <v>974.86565600000017</v>
      </c>
      <c r="T13" s="73"/>
      <c r="U13" s="76"/>
    </row>
    <row r="14" spans="1:21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72"/>
      <c r="S14" s="72"/>
      <c r="T14" s="73"/>
      <c r="U14" s="83"/>
    </row>
    <row r="15" spans="1:21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72"/>
      <c r="S15" s="72"/>
      <c r="T15" s="73"/>
      <c r="U15" s="83"/>
    </row>
    <row r="16" spans="1:21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72"/>
      <c r="S16" s="72"/>
      <c r="T16" s="73"/>
      <c r="U16" s="83"/>
    </row>
    <row r="17" spans="1:21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72">
        <f>+Q17*(1+R$8)</f>
        <v>1904.0160758387092</v>
      </c>
      <c r="S17" s="72">
        <f>+Q17*(1+S$8)</f>
        <v>2263.1158269999996</v>
      </c>
      <c r="T17" s="73"/>
      <c r="U17" s="76"/>
    </row>
    <row r="18" spans="1:21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72">
        <f>+Q18*(1+R$8)</f>
        <v>2899.8303674516133</v>
      </c>
      <c r="S18" s="72">
        <f>+Q18*(1+S$8)</f>
        <v>3446.741907000001</v>
      </c>
      <c r="T18" s="73"/>
      <c r="U18" s="76"/>
    </row>
    <row r="19" spans="1:21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72"/>
      <c r="S19" s="72"/>
      <c r="T19" s="73"/>
      <c r="U19" s="83"/>
    </row>
    <row r="20" spans="1:21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72"/>
      <c r="S20" s="72"/>
      <c r="T20" s="73"/>
      <c r="U20" s="83"/>
    </row>
    <row r="21" spans="1:21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72">
        <f>+Q21*(1+R$8)</f>
        <v>251.00682433512904</v>
      </c>
      <c r="S21" s="72">
        <f>+Q21*(1+S$8)</f>
        <v>298.34701715300002</v>
      </c>
      <c r="T21" s="73"/>
      <c r="U21" s="76"/>
    </row>
    <row r="22" spans="1:21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72"/>
      <c r="S22" s="72"/>
      <c r="T22" s="73"/>
      <c r="U22" s="83"/>
    </row>
    <row r="23" spans="1:21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72"/>
      <c r="S23" s="72"/>
      <c r="T23" s="73"/>
      <c r="U23" s="83"/>
    </row>
    <row r="24" spans="1:21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72"/>
      <c r="S24" s="72"/>
      <c r="T24" s="73"/>
      <c r="U24" s="83"/>
    </row>
    <row r="25" spans="1:21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72">
        <f>+Q25*(1+R$8)</f>
        <v>1447.4188086129031</v>
      </c>
      <c r="S25" s="72">
        <f>+Q25*(1+S$8)</f>
        <v>1720.4037590000003</v>
      </c>
      <c r="T25" s="73"/>
      <c r="U25" s="76"/>
    </row>
    <row r="26" spans="1:21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72">
        <f>+Q26*(1+R$8)</f>
        <v>108.40423435483872</v>
      </c>
      <c r="S26" s="72">
        <f>+Q26*(1+S$8)</f>
        <v>128.84940500000002</v>
      </c>
      <c r="T26" s="73"/>
      <c r="U26" s="76"/>
    </row>
    <row r="27" spans="1:21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72">
        <f>+Q27*(1+R$8)</f>
        <v>126.11823858064514</v>
      </c>
      <c r="S27" s="72">
        <f>+Q27*(1+S$8)</f>
        <v>149.90429199999997</v>
      </c>
      <c r="T27" s="73"/>
      <c r="U27" s="76"/>
    </row>
    <row r="28" spans="1:21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72">
        <f>+Q28*(1+R$8)</f>
        <v>152.51826032258066</v>
      </c>
      <c r="S28" s="72">
        <f>+Q28*(1+S$8)</f>
        <v>181.28339000000003</v>
      </c>
      <c r="T28" s="73"/>
      <c r="U28" s="76"/>
    </row>
    <row r="29" spans="1:21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72">
        <f>+Q29*(1+R$8)</f>
        <v>183.22709390322578</v>
      </c>
      <c r="S29" s="72">
        <f>+Q29*(1+S$8)</f>
        <v>217.78394699999998</v>
      </c>
      <c r="T29" s="73"/>
      <c r="U29" s="76"/>
    </row>
    <row r="30" spans="1:21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72"/>
      <c r="S30" s="72"/>
      <c r="T30" s="73"/>
      <c r="U30" s="83"/>
    </row>
    <row r="31" spans="1:21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72"/>
      <c r="S31" s="72"/>
      <c r="T31" s="73"/>
      <c r="U31" s="83"/>
    </row>
    <row r="32" spans="1:21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72">
        <f>+Q32*(1+R$8)</f>
        <v>90.963805483870956</v>
      </c>
      <c r="S32" s="72">
        <f>+Q32*(1+S$8)</f>
        <v>108.11969000000001</v>
      </c>
      <c r="T32" s="73"/>
      <c r="U32" s="76"/>
    </row>
    <row r="33" spans="1:21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72">
        <f>+Q33*(1+R$8)</f>
        <v>68523.376640193557</v>
      </c>
      <c r="S33" s="72">
        <f>+Q33*(1+S$8)</f>
        <v>81446.968942000021</v>
      </c>
      <c r="T33" s="73"/>
      <c r="U33" s="76"/>
    </row>
    <row r="34" spans="1:21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72"/>
      <c r="S34" s="72"/>
      <c r="T34" s="73"/>
      <c r="U34" s="83"/>
    </row>
    <row r="35" spans="1:21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72"/>
      <c r="S35" s="72"/>
      <c r="T35" s="73"/>
      <c r="U35" s="83"/>
    </row>
    <row r="36" spans="1:21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75">
        <f>+Q36*(1+S$8)</f>
        <v>3289.1205131715415</v>
      </c>
      <c r="S36" s="75">
        <f>+Q36*(1+S$8)</f>
        <v>3289.1205131715415</v>
      </c>
      <c r="T36" s="73"/>
      <c r="U36" s="76"/>
    </row>
    <row r="37" spans="1:21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75">
        <f>+Q37*(1+S$8)</f>
        <v>6539.5340919999999</v>
      </c>
      <c r="S37" s="75">
        <f>+Q37*(1+S$8)</f>
        <v>6539.5340919999999</v>
      </c>
      <c r="T37" s="73"/>
      <c r="U37" s="76"/>
    </row>
    <row r="38" spans="1:21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72"/>
      <c r="S38" s="72"/>
      <c r="T38" s="73"/>
      <c r="U38" s="83"/>
    </row>
    <row r="39" spans="1:21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72"/>
      <c r="S39" s="72"/>
      <c r="T39" s="73"/>
      <c r="U39" s="83"/>
    </row>
    <row r="40" spans="1:21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72">
        <f>+Q40*(1+R$8)</f>
        <v>398.80447351612906</v>
      </c>
      <c r="S40" s="72">
        <f>+Q40*(1+S$8)</f>
        <v>474.01948300000009</v>
      </c>
      <c r="T40" s="73"/>
      <c r="U40" s="76"/>
    </row>
    <row r="41" spans="1:21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72"/>
      <c r="S41" s="72"/>
      <c r="T41" s="76"/>
      <c r="U41" s="77"/>
    </row>
    <row r="42" spans="1:21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78"/>
      <c r="S42" s="78"/>
    </row>
    <row r="44" spans="1:21" x14ac:dyDescent="0.3">
      <c r="N44" s="4"/>
      <c r="O44" s="4"/>
      <c r="P44" s="4"/>
      <c r="Q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4F60-BCA1-4E68-92D2-3E71A1984BC4}">
  <sheetPr>
    <pageSetUpPr fitToPage="1"/>
  </sheetPr>
  <dimension ref="A1:T44"/>
  <sheetViews>
    <sheetView zoomScale="90" zoomScaleNormal="90" workbookViewId="0">
      <selection activeCell="R10" sqref="R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0" style="1" hidden="1" customWidth="1"/>
    <col min="14" max="16" width="24.6640625" style="1" customWidth="1"/>
    <col min="17" max="17" width="25.5546875" style="1" customWidth="1"/>
    <col min="18" max="18" width="24.6640625" style="1" customWidth="1"/>
    <col min="19" max="19" width="21.33203125" style="1" customWidth="1"/>
    <col min="20" max="20" width="12.33203125" style="1" customWidth="1"/>
    <col min="21" max="16384" width="10.6640625" style="1"/>
  </cols>
  <sheetData>
    <row r="1" spans="1:20" x14ac:dyDescent="0.3">
      <c r="Q1" s="3" t="s">
        <v>0</v>
      </c>
      <c r="R1" s="3" t="s">
        <v>0</v>
      </c>
    </row>
    <row r="2" spans="1:20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3">
      <c r="A3" s="5" t="s">
        <v>85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5" spans="1:20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57" t="s">
        <v>12</v>
      </c>
      <c r="R5" s="79" t="s">
        <v>12</v>
      </c>
    </row>
    <row r="6" spans="1:20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59" t="s">
        <v>83</v>
      </c>
      <c r="R6" s="80" t="s">
        <v>32</v>
      </c>
    </row>
    <row r="7" spans="1:20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60" t="s">
        <v>86</v>
      </c>
      <c r="R7" s="81" t="s">
        <v>47</v>
      </c>
    </row>
    <row r="8" spans="1:20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9">
        <f>S8*30/31</f>
        <v>0.11416264806404774</v>
      </c>
      <c r="R8" s="82">
        <f>S8*31/31</f>
        <v>0.11796806966618269</v>
      </c>
      <c r="S8" s="70">
        <f>(5.7771/5.1675)-1</f>
        <v>0.11796806966618267</v>
      </c>
    </row>
    <row r="9" spans="1:20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71"/>
      <c r="R9" s="71"/>
    </row>
    <row r="10" spans="1:20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72">
        <f>+P10*(1+Q$8)</f>
        <v>896.4327048387097</v>
      </c>
      <c r="R10" s="72">
        <f>+P10*(1+R$8)</f>
        <v>899.49447000000009</v>
      </c>
      <c r="S10" s="76"/>
      <c r="T10" s="76"/>
    </row>
    <row r="11" spans="1:20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72">
        <f>+P11*(1+Q$8)</f>
        <v>1066.7376464516128</v>
      </c>
      <c r="R11" s="72">
        <f>+P11*(1+R$8)</f>
        <v>1070.3810879999999</v>
      </c>
      <c r="S11" s="76"/>
      <c r="T11" s="76"/>
    </row>
    <row r="12" spans="1:20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72">
        <f>+P12*(1+Q$8)</f>
        <v>1153.3294761290324</v>
      </c>
      <c r="R12" s="72">
        <f>+P12*(1+R$8)</f>
        <v>1157.2686720000002</v>
      </c>
      <c r="S12" s="76"/>
      <c r="T12" s="76"/>
    </row>
    <row r="13" spans="1:20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72">
        <f>+P13*(1+Q$8)</f>
        <v>690.43166322580635</v>
      </c>
      <c r="R13" s="72">
        <f>+P13*(1+R$8)</f>
        <v>692.78983200000005</v>
      </c>
      <c r="S13" s="84"/>
      <c r="T13" s="76"/>
    </row>
    <row r="14" spans="1:20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72"/>
      <c r="R14" s="72"/>
      <c r="T14" s="83"/>
    </row>
    <row r="15" spans="1:20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72"/>
      <c r="R15" s="72"/>
      <c r="T15" s="83"/>
    </row>
    <row r="16" spans="1:20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72"/>
      <c r="R16" s="72"/>
      <c r="T16" s="83"/>
    </row>
    <row r="17" spans="1:20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72">
        <f>+P17*(1+Q$8)</f>
        <v>1602.8124643548381</v>
      </c>
      <c r="R17" s="72">
        <f>+P17*(1+R$8)</f>
        <v>1608.2868689999996</v>
      </c>
      <c r="S17" s="76"/>
      <c r="T17" s="76"/>
    </row>
    <row r="18" spans="1:20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72">
        <f>+P18*(1+Q$8)</f>
        <v>2441.0950708064515</v>
      </c>
      <c r="R18" s="72">
        <f>+P18*(1+R$8)</f>
        <v>2449.4326290000004</v>
      </c>
      <c r="S18" s="76"/>
      <c r="T18" s="76"/>
    </row>
    <row r="19" spans="1:20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72"/>
      <c r="R19" s="72"/>
      <c r="T19" s="83"/>
    </row>
    <row r="20" spans="1:20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72"/>
      <c r="R20" s="72"/>
      <c r="T20" s="83"/>
    </row>
    <row r="21" spans="1:20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72">
        <f>+P21*(1+Q$8)</f>
        <v>211.29909131951609</v>
      </c>
      <c r="R21" s="72">
        <f>+P21*(1+R$8)</f>
        <v>212.02078319099999</v>
      </c>
      <c r="S21" s="76"/>
      <c r="T21" s="76"/>
    </row>
    <row r="22" spans="1:20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72"/>
      <c r="R22" s="72"/>
      <c r="T22" s="83"/>
    </row>
    <row r="23" spans="1:20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72"/>
      <c r="R23" s="72"/>
      <c r="T23" s="83"/>
    </row>
    <row r="24" spans="1:20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72"/>
      <c r="R24" s="72"/>
      <c r="T24" s="83"/>
    </row>
    <row r="25" spans="1:20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72">
        <f>+P25*(1+Q$8)</f>
        <v>1218.4460714516129</v>
      </c>
      <c r="R25" s="72">
        <f>+P25*(1+R$8)</f>
        <v>1222.607673</v>
      </c>
      <c r="S25" s="76"/>
      <c r="T25" s="76"/>
    </row>
    <row r="26" spans="1:20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72">
        <f>+P26*(1+Q$8)</f>
        <v>91.255352419354836</v>
      </c>
      <c r="R26" s="72">
        <f>+P26*(1+R$8)</f>
        <v>91.567035000000004</v>
      </c>
      <c r="S26" s="76"/>
      <c r="T26" s="76"/>
    </row>
    <row r="27" spans="1:20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72">
        <f>+P27*(1+Q$8)</f>
        <v>106.16711032258061</v>
      </c>
      <c r="R27" s="72">
        <f>+P27*(1+R$8)</f>
        <v>106.52972399999997</v>
      </c>
      <c r="S27" s="76"/>
      <c r="T27" s="76"/>
    </row>
    <row r="28" spans="1:20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72">
        <f>+P28*(1+Q$8)</f>
        <v>128.39081129032257</v>
      </c>
      <c r="R28" s="72">
        <f>+P28*(1+R$8)</f>
        <v>128.82933</v>
      </c>
      <c r="S28" s="76"/>
      <c r="T28" s="76"/>
    </row>
    <row r="29" spans="1:20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72">
        <f>+P29*(1+Q$8)</f>
        <v>154.24169661290316</v>
      </c>
      <c r="R29" s="72">
        <f>+P29*(1+R$8)</f>
        <v>154.76850899999997</v>
      </c>
      <c r="S29" s="76"/>
      <c r="T29" s="76"/>
    </row>
    <row r="30" spans="1:20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72"/>
      <c r="R30" s="72"/>
      <c r="T30" s="83"/>
    </row>
    <row r="31" spans="1:20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72"/>
      <c r="R31" s="72"/>
      <c r="T31" s="83"/>
    </row>
    <row r="32" spans="1:20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72">
        <f>+P32*(1+Q$8)</f>
        <v>76.573891935483857</v>
      </c>
      <c r="R32" s="72">
        <f>+P32*(1+R$8)</f>
        <v>76.835429999999988</v>
      </c>
      <c r="S32" s="76"/>
      <c r="T32" s="76"/>
    </row>
    <row r="33" spans="1:20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72">
        <f>+P33*(1+Q$8)</f>
        <v>57683.4006667742</v>
      </c>
      <c r="R33" s="72">
        <f>+P33*(1+R$8)</f>
        <v>57880.418274000011</v>
      </c>
      <c r="S33" s="76"/>
      <c r="T33" s="76"/>
    </row>
    <row r="34" spans="1:20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72"/>
      <c r="R34" s="72"/>
      <c r="T34" s="83"/>
    </row>
    <row r="35" spans="1:20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72"/>
      <c r="R35" s="72"/>
      <c r="T35" s="83"/>
    </row>
    <row r="36" spans="1:20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75">
        <f>+P36*(1+R$8)</f>
        <v>2337.418734287492</v>
      </c>
      <c r="R36" s="75">
        <f>+P36*(1+R$8)</f>
        <v>2337.418734287492</v>
      </c>
      <c r="S36" s="76"/>
      <c r="T36" s="76"/>
    </row>
    <row r="37" spans="1:20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75">
        <f>+P37*(1+R$8)</f>
        <v>4647.3303239999996</v>
      </c>
      <c r="R37" s="75">
        <f>+P37*(1+R$8)</f>
        <v>4647.3303239999996</v>
      </c>
      <c r="S37" s="76"/>
      <c r="T37" s="76"/>
    </row>
    <row r="38" spans="1:20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72"/>
      <c r="R38" s="72"/>
      <c r="S38" s="76"/>
      <c r="T38" s="83"/>
    </row>
    <row r="39" spans="1:20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72"/>
      <c r="R39" s="72"/>
      <c r="S39" s="76"/>
      <c r="T39" s="83"/>
    </row>
    <row r="40" spans="1:20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72">
        <f>+P40*(1+Q$8)</f>
        <v>335.71606306451611</v>
      </c>
      <c r="R40" s="72">
        <f>+P40*(1+R$8)</f>
        <v>336.86270100000002</v>
      </c>
      <c r="S40" s="76"/>
      <c r="T40" s="76"/>
    </row>
    <row r="41" spans="1:20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72"/>
      <c r="R41" s="72"/>
      <c r="S41" s="76"/>
      <c r="T41" s="77"/>
    </row>
    <row r="42" spans="1:20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78"/>
      <c r="R42" s="78"/>
    </row>
    <row r="44" spans="1:20" x14ac:dyDescent="0.3">
      <c r="N44" s="4"/>
      <c r="O44" s="4"/>
      <c r="P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6D2B-CBE1-4FE8-87AA-F9366448D0CC}">
  <sheetPr>
    <pageSetUpPr fitToPage="1"/>
  </sheetPr>
  <dimension ref="A1:S44"/>
  <sheetViews>
    <sheetView zoomScale="90" zoomScaleNormal="90" workbookViewId="0">
      <selection activeCell="P8" sqref="P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0" style="1" hidden="1" customWidth="1"/>
    <col min="14" max="15" width="24.6640625" style="1" customWidth="1"/>
    <col min="16" max="16" width="25.5546875" style="1" customWidth="1"/>
    <col min="17" max="17" width="24.6640625" style="1" customWidth="1"/>
    <col min="18" max="18" width="21.33203125" style="1" customWidth="1"/>
    <col min="19" max="19" width="12.33203125" style="1" customWidth="1"/>
    <col min="20" max="16384" width="10.6640625" style="1"/>
  </cols>
  <sheetData>
    <row r="1" spans="1:19" x14ac:dyDescent="0.3">
      <c r="P1" s="3" t="s">
        <v>0</v>
      </c>
      <c r="Q1" s="3" t="s">
        <v>0</v>
      </c>
    </row>
    <row r="2" spans="1:19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x14ac:dyDescent="0.3">
      <c r="A3" s="5" t="s">
        <v>87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</row>
    <row r="5" spans="1:19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57" t="s">
        <v>11</v>
      </c>
      <c r="Q5" s="79" t="s">
        <v>11</v>
      </c>
    </row>
    <row r="6" spans="1:19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59" t="s">
        <v>88</v>
      </c>
      <c r="Q6" s="80" t="s">
        <v>88</v>
      </c>
    </row>
    <row r="7" spans="1:19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60" t="s">
        <v>89</v>
      </c>
      <c r="Q7" s="81" t="s">
        <v>46</v>
      </c>
    </row>
    <row r="8" spans="1:19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9">
        <f>R8*18/31</f>
        <v>0.18827592706182295</v>
      </c>
      <c r="Q8" s="82">
        <f>R8*31/31</f>
        <v>0.32425298549536175</v>
      </c>
      <c r="R8" s="70">
        <f>(5.1675/3.9022)-1</f>
        <v>0.32425298549536175</v>
      </c>
    </row>
    <row r="9" spans="1:19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71"/>
      <c r="Q9" s="71"/>
    </row>
    <row r="10" spans="1:19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72">
        <f>+O10*(1+P$8)</f>
        <v>721.96382322580655</v>
      </c>
      <c r="Q10" s="72">
        <f>+O10*(1+Q$8)</f>
        <v>804.57975000000022</v>
      </c>
      <c r="R10" s="76"/>
      <c r="S10" s="83"/>
    </row>
    <row r="11" spans="1:19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72">
        <f>+O11*(1+P$8)</f>
        <v>859.12303896774188</v>
      </c>
      <c r="Q11" s="72">
        <f>+O11*(1+Q$8)</f>
        <v>957.4344000000001</v>
      </c>
      <c r="R11" s="76"/>
      <c r="S11" s="83"/>
    </row>
    <row r="12" spans="1:19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72">
        <f>+O12*(1+P$8)</f>
        <v>928.861869419355</v>
      </c>
      <c r="Q12" s="72">
        <f>+O12*(1+Q$8)</f>
        <v>1035.1536000000003</v>
      </c>
      <c r="R12" s="76"/>
      <c r="S12" s="83"/>
    </row>
    <row r="13" spans="1:19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72">
        <f>+O13*(1+P$8)</f>
        <v>556.05588748387106</v>
      </c>
      <c r="Q13" s="72">
        <f>+O13*(1+Q$8)</f>
        <v>619.68660000000011</v>
      </c>
      <c r="R13" s="84"/>
      <c r="S13" s="83"/>
    </row>
    <row r="14" spans="1:19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72"/>
      <c r="Q14" s="72"/>
      <c r="S14" s="83"/>
    </row>
    <row r="15" spans="1:19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72"/>
      <c r="Q15" s="72"/>
      <c r="S15" s="83"/>
    </row>
    <row r="16" spans="1:19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72"/>
      <c r="Q16" s="72"/>
      <c r="S16" s="83"/>
    </row>
    <row r="17" spans="1:19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72">
        <f>+O17*(1+P$8)</f>
        <v>1290.8638969032256</v>
      </c>
      <c r="Q17" s="72">
        <f>+O17*(1+Q$8)</f>
        <v>1438.5803249999999</v>
      </c>
      <c r="R17" s="76"/>
      <c r="S17" s="83"/>
    </row>
    <row r="18" spans="1:19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72">
        <f>+O18*(1+P$8)</f>
        <v>1965.995127870968</v>
      </c>
      <c r="Q18" s="72">
        <f>+O18*(1+Q$8)</f>
        <v>2190.9683250000007</v>
      </c>
      <c r="R18" s="76"/>
      <c r="S18" s="83"/>
    </row>
    <row r="19" spans="1:19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72"/>
      <c r="Q19" s="72"/>
      <c r="S19" s="83"/>
    </row>
    <row r="20" spans="1:19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72"/>
      <c r="Q20" s="72"/>
      <c r="S20" s="83"/>
    </row>
    <row r="21" spans="1:19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72">
        <f>+O21*(1+P$8)</f>
        <v>170.17484858567741</v>
      </c>
      <c r="Q21" s="72">
        <f>+O21*(1+Q$8)</f>
        <v>189.64833517500003</v>
      </c>
      <c r="R21" s="76"/>
      <c r="S21" s="83"/>
    </row>
    <row r="22" spans="1:19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72"/>
      <c r="Q22" s="72"/>
      <c r="S22" s="83"/>
    </row>
    <row r="23" spans="1:19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72"/>
      <c r="Q23" s="72"/>
      <c r="S23" s="83"/>
    </row>
    <row r="24" spans="1:19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72"/>
      <c r="Q24" s="72"/>
      <c r="S24" s="83"/>
    </row>
    <row r="25" spans="1:19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72">
        <f>+O25*(1+P$8)</f>
        <v>981.30509896774197</v>
      </c>
      <c r="Q25" s="72">
        <f>+O25*(1+Q$8)</f>
        <v>1093.5980250000002</v>
      </c>
      <c r="R25" s="76"/>
      <c r="S25" s="83"/>
    </row>
    <row r="26" spans="1:19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72">
        <f>+O26*(1+P$8)</f>
        <v>73.494711612903231</v>
      </c>
      <c r="Q26" s="72">
        <f>+O26*(1+Q$8)</f>
        <v>81.904875000000018</v>
      </c>
      <c r="R26" s="76"/>
      <c r="S26" s="83"/>
    </row>
    <row r="27" spans="1:19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72">
        <f>+O27*(1+P$8)</f>
        <v>85.504257548387088</v>
      </c>
      <c r="Q27" s="72">
        <f>+O27*(1+Q$8)</f>
        <v>95.288699999999992</v>
      </c>
      <c r="R27" s="76"/>
      <c r="S27" s="83"/>
    </row>
    <row r="28" spans="1:19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72">
        <f>+O28*(1+P$8)</f>
        <v>103.4026541935484</v>
      </c>
      <c r="Q28" s="72">
        <f>+O28*(1+Q$8)</f>
        <v>115.23525000000002</v>
      </c>
      <c r="R28" s="76"/>
      <c r="S28" s="83"/>
    </row>
    <row r="29" spans="1:19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72">
        <f>+O29*(1+P$8)</f>
        <v>124.22229174193545</v>
      </c>
      <c r="Q29" s="72">
        <f>+O29*(1+Q$8)</f>
        <v>138.43732499999999</v>
      </c>
      <c r="R29" s="76"/>
      <c r="S29" s="83"/>
    </row>
    <row r="30" spans="1:19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72"/>
      <c r="Q30" s="72"/>
      <c r="S30" s="83"/>
    </row>
    <row r="31" spans="1:19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72"/>
      <c r="Q31" s="72"/>
      <c r="S31" s="83"/>
    </row>
    <row r="32" spans="1:19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72">
        <f>+O32*(1+P$8)</f>
        <v>61.670641290322578</v>
      </c>
      <c r="Q32" s="72">
        <f>+O32*(1+Q$8)</f>
        <v>68.72775</v>
      </c>
      <c r="R32" s="76"/>
      <c r="S32" s="83"/>
    </row>
    <row r="33" spans="1:19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72">
        <f>+O33*(1+P$8)</f>
        <v>46456.725928516134</v>
      </c>
      <c r="Q33" s="72">
        <f>+O33*(1+Q$8)</f>
        <v>51772.872450000017</v>
      </c>
      <c r="R33" s="76"/>
      <c r="S33" s="83"/>
    </row>
    <row r="34" spans="1:19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72"/>
      <c r="Q34" s="72"/>
      <c r="S34" s="83"/>
    </row>
    <row r="35" spans="1:19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72"/>
      <c r="Q35" s="72"/>
      <c r="S35" s="83"/>
    </row>
    <row r="36" spans="1:19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75">
        <f>+O36*(1+Q$8)</f>
        <v>2090.7741443683885</v>
      </c>
      <c r="Q36" s="75">
        <f>+O36*(1+Q$8)</f>
        <v>2090.7741443683885</v>
      </c>
      <c r="R36" s="76"/>
      <c r="S36" s="83"/>
    </row>
    <row r="37" spans="1:19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75">
        <f>+O37*(1+Q$8)</f>
        <v>4156.9437000000007</v>
      </c>
      <c r="Q37" s="75">
        <f>+O37*(1+Q$8)</f>
        <v>4156.9437000000007</v>
      </c>
      <c r="R37" s="76"/>
      <c r="S37" s="83"/>
    </row>
    <row r="38" spans="1:19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72"/>
      <c r="Q38" s="72"/>
      <c r="R38" s="76"/>
      <c r="S38" s="83"/>
    </row>
    <row r="39" spans="1:19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72"/>
      <c r="Q39" s="72"/>
      <c r="R39" s="76"/>
      <c r="S39" s="83"/>
    </row>
    <row r="40" spans="1:19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72">
        <f>+O40*(1+P$8)</f>
        <v>270.37707470967746</v>
      </c>
      <c r="Q40" s="72">
        <f>+O40*(1+Q$8)</f>
        <v>301.31692500000008</v>
      </c>
      <c r="R40" s="76"/>
      <c r="S40" s="83"/>
    </row>
    <row r="41" spans="1:19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72"/>
      <c r="Q41" s="72"/>
      <c r="R41" s="76"/>
      <c r="S41" s="77"/>
    </row>
    <row r="42" spans="1:19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78"/>
      <c r="Q42" s="78"/>
    </row>
    <row r="44" spans="1:19" x14ac:dyDescent="0.3">
      <c r="N44" s="4"/>
      <c r="O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49F1-8518-47EC-B6FD-B21CCF7B97D1}">
  <sheetPr>
    <pageSetUpPr fitToPage="1"/>
  </sheetPr>
  <dimension ref="A1:R44"/>
  <sheetViews>
    <sheetView topLeftCell="K1" workbookViewId="0">
      <selection activeCell="O6" sqref="O6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4" width="24.6640625" style="1" customWidth="1"/>
    <col min="15" max="15" width="25.5546875" style="1" customWidth="1"/>
    <col min="16" max="16" width="24.6640625" style="1" customWidth="1"/>
    <col min="17" max="17" width="21.33203125" style="1" customWidth="1"/>
    <col min="18" max="18" width="12.33203125" style="1" customWidth="1"/>
    <col min="19" max="16384" width="10.6640625" style="1"/>
  </cols>
  <sheetData>
    <row r="1" spans="1:18" x14ac:dyDescent="0.3">
      <c r="O1" s="3" t="s">
        <v>0</v>
      </c>
      <c r="P1" s="3" t="s">
        <v>0</v>
      </c>
    </row>
    <row r="2" spans="1:18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x14ac:dyDescent="0.3">
      <c r="A3" s="5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</row>
    <row r="5" spans="1:1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57" t="s">
        <v>10</v>
      </c>
      <c r="P5" s="79" t="s">
        <v>10</v>
      </c>
    </row>
    <row r="6" spans="1:18" x14ac:dyDescent="0.3">
      <c r="A6" s="118" t="s">
        <v>17</v>
      </c>
      <c r="B6" s="118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59" t="s">
        <v>91</v>
      </c>
      <c r="P6" s="80" t="s">
        <v>30</v>
      </c>
    </row>
    <row r="7" spans="1:18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60" t="s">
        <v>92</v>
      </c>
      <c r="P7" s="81" t="s">
        <v>45</v>
      </c>
    </row>
    <row r="8" spans="1:18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9">
        <f>Q8*25/30</f>
        <v>0.20426504998936409</v>
      </c>
      <c r="P8" s="82">
        <f>Q8*31/31</f>
        <v>0.2451180599872369</v>
      </c>
      <c r="Q8" s="70">
        <f>(3.9022/3.134)-1</f>
        <v>0.2451180599872369</v>
      </c>
    </row>
    <row r="9" spans="1:18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1"/>
      <c r="P9" s="71"/>
    </row>
    <row r="10" spans="1:18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72">
        <f>+N10*(1+O$8)</f>
        <v>587.6377500000001</v>
      </c>
      <c r="P10" s="72">
        <f>+N10*(1+P$8)</f>
        <v>607.57254000000012</v>
      </c>
      <c r="Q10" s="76"/>
      <c r="R10" s="84"/>
    </row>
    <row r="11" spans="1:18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72">
        <f>+N11*(1+O$8)</f>
        <v>699.27759999999989</v>
      </c>
      <c r="P11" s="72">
        <f>+N11*(1+P$8)</f>
        <v>722.99961599999995</v>
      </c>
      <c r="Q11" s="76"/>
      <c r="R11" s="70"/>
    </row>
    <row r="12" spans="1:18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72">
        <f>+N12*(1+O$8)</f>
        <v>756.04106666666689</v>
      </c>
      <c r="P12" s="72">
        <f>+N12*(1+P$8)</f>
        <v>781.68870400000014</v>
      </c>
      <c r="Q12" s="76"/>
      <c r="R12" s="70"/>
    </row>
    <row r="13" spans="1:18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72">
        <f>+N13*(1+O$8)</f>
        <v>452.59806666666668</v>
      </c>
      <c r="P13" s="72">
        <f>+N13*(1+P$8)</f>
        <v>467.95182400000004</v>
      </c>
      <c r="Q13" s="84"/>
      <c r="R13" s="70"/>
    </row>
    <row r="14" spans="1:18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72"/>
      <c r="P14" s="72"/>
      <c r="R14" s="70"/>
    </row>
    <row r="15" spans="1:18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72"/>
      <c r="P15" s="72"/>
      <c r="R15" s="70"/>
    </row>
    <row r="16" spans="1:18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72"/>
      <c r="P16" s="72"/>
      <c r="R16" s="70"/>
    </row>
    <row r="17" spans="1:18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72">
        <f>+N17*(1+O$8)</f>
        <v>1050.6902583333331</v>
      </c>
      <c r="P17" s="72">
        <f>+N17*(1+P$8)</f>
        <v>1086.3334579999998</v>
      </c>
      <c r="Q17" s="76"/>
      <c r="R17" s="70"/>
    </row>
    <row r="18" spans="1:18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72">
        <f>+N18*(1+O$8)</f>
        <v>1600.2089250000001</v>
      </c>
      <c r="P18" s="72">
        <f>+N18*(1+P$8)</f>
        <v>1654.4937780000002</v>
      </c>
      <c r="Q18" s="76"/>
      <c r="R18" s="70"/>
    </row>
    <row r="19" spans="1:18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72"/>
      <c r="P19" s="72"/>
      <c r="R19" s="70"/>
    </row>
    <row r="20" spans="1:18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72"/>
      <c r="P20" s="72"/>
      <c r="R20" s="70"/>
    </row>
    <row r="21" spans="1:18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72">
        <f>+N21*(1+O$8)</f>
        <v>138.51270924166667</v>
      </c>
      <c r="P21" s="72">
        <f>+N21*(1+P$8)</f>
        <v>143.211559462</v>
      </c>
      <c r="Q21" s="76"/>
      <c r="R21" s="70"/>
    </row>
    <row r="22" spans="1:18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72"/>
      <c r="P22" s="72"/>
      <c r="R22" s="70"/>
    </row>
    <row r="23" spans="1:18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72"/>
      <c r="P23" s="72"/>
      <c r="R23" s="70"/>
    </row>
    <row r="24" spans="1:18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72"/>
      <c r="P24" s="72"/>
      <c r="R24" s="70"/>
    </row>
    <row r="25" spans="1:18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72">
        <f>+N25*(1+O$8)</f>
        <v>798.72689166666669</v>
      </c>
      <c r="P25" s="72">
        <f>+N25*(1+P$8)</f>
        <v>825.822586</v>
      </c>
      <c r="Q25" s="76"/>
      <c r="R25" s="70"/>
    </row>
    <row r="26" spans="1:18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72">
        <f>+N26*(1+O$8)</f>
        <v>59.820541666666671</v>
      </c>
      <c r="P26" s="72">
        <f>+N26*(1+P$8)</f>
        <v>61.849870000000003</v>
      </c>
      <c r="Q26" s="76"/>
      <c r="R26" s="70"/>
    </row>
    <row r="27" spans="1:18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72">
        <f>+N27*(1+O$8)</f>
        <v>69.595633333333325</v>
      </c>
      <c r="P27" s="72">
        <f>+N27*(1+P$8)</f>
        <v>71.95656799999999</v>
      </c>
      <c r="Q27" s="76"/>
      <c r="R27" s="70"/>
    </row>
    <row r="28" spans="1:18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72">
        <f>+N28*(1+O$8)</f>
        <v>84.16391666666668</v>
      </c>
      <c r="P28" s="72">
        <f>+N28*(1+P$8)</f>
        <v>87.01906000000001</v>
      </c>
      <c r="Q28" s="76"/>
      <c r="R28" s="70"/>
    </row>
    <row r="29" spans="1:18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72">
        <f>+N29*(1+O$8)</f>
        <v>101.10992499999999</v>
      </c>
      <c r="P29" s="72">
        <f>+N29*(1+P$8)</f>
        <v>104.53993799999998</v>
      </c>
      <c r="Q29" s="76"/>
      <c r="R29" s="70"/>
    </row>
    <row r="30" spans="1:18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72"/>
      <c r="P30" s="72"/>
      <c r="R30" s="70"/>
    </row>
    <row r="31" spans="1:18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72"/>
      <c r="P31" s="72"/>
      <c r="R31" s="70"/>
    </row>
    <row r="32" spans="1:18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72">
        <f>+N32*(1+O$8)</f>
        <v>50.196416666666664</v>
      </c>
      <c r="P32" s="72">
        <f>+N32*(1+P$8)</f>
        <v>51.899259999999998</v>
      </c>
      <c r="Q32" s="76"/>
      <c r="R32" s="70"/>
    </row>
    <row r="33" spans="1:18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72">
        <f>+N33*(1+O$8)</f>
        <v>37813.149383333337</v>
      </c>
      <c r="P33" s="72">
        <f>+N33*(1+P$8)</f>
        <v>39095.907668000007</v>
      </c>
      <c r="Q33" s="76"/>
      <c r="R33" s="70"/>
    </row>
    <row r="34" spans="1:18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72"/>
      <c r="P34" s="72"/>
      <c r="R34" s="70"/>
    </row>
    <row r="35" spans="1:18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72"/>
      <c r="P35" s="72"/>
      <c r="R35" s="70"/>
    </row>
    <row r="36" spans="1:18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72">
        <f>+N36*(1+P$8)</f>
        <v>1578.8328720182535</v>
      </c>
      <c r="P36" s="72">
        <f>+N36*(1+P$8)</f>
        <v>1578.8328720182535</v>
      </c>
      <c r="Q36" s="76"/>
      <c r="R36" s="70"/>
    </row>
    <row r="37" spans="1:18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72">
        <f>+N37*(1+P$8)</f>
        <v>3139.0857680000004</v>
      </c>
      <c r="P37" s="72">
        <f>+N37*(1+P$8)</f>
        <v>3139.0857680000004</v>
      </c>
      <c r="Q37" s="76"/>
      <c r="R37" s="70"/>
    </row>
    <row r="38" spans="1:18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72"/>
      <c r="P38" s="72"/>
      <c r="Q38" s="76"/>
      <c r="R38" s="70"/>
    </row>
    <row r="39" spans="1:18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72"/>
      <c r="P39" s="72"/>
      <c r="Q39" s="76"/>
      <c r="R39" s="70"/>
    </row>
    <row r="40" spans="1:18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72">
        <f>+N40*(1+O$8)</f>
        <v>220.07165833333335</v>
      </c>
      <c r="P40" s="72">
        <f>+N40*(1+P$8)</f>
        <v>227.53728200000003</v>
      </c>
      <c r="Q40" s="76"/>
      <c r="R40" s="70"/>
    </row>
    <row r="41" spans="1:18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72"/>
      <c r="P41" s="72"/>
      <c r="Q41" s="76"/>
      <c r="R41" s="85"/>
    </row>
    <row r="42" spans="1:18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78"/>
      <c r="P42" s="78"/>
    </row>
    <row r="44" spans="1:18" x14ac:dyDescent="0.3">
      <c r="N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Res DPA 997 24</vt:lpstr>
      <vt:lpstr>Res DPA 653 24</vt:lpstr>
      <vt:lpstr>Res DPA 353 24</vt:lpstr>
      <vt:lpstr>Res DPA 40 24</vt:lpstr>
      <vt:lpstr>Res DPA 992 23</vt:lpstr>
      <vt:lpstr>Res DPA 664 23</vt:lpstr>
      <vt:lpstr>Res DPA 341 23</vt:lpstr>
      <vt:lpstr>Res DPA 42 23</vt:lpstr>
      <vt:lpstr>Res DPA 708 22</vt:lpstr>
      <vt:lpstr>Res DPA 290 22</vt:lpstr>
      <vt:lpstr>Res DPA 15 22</vt:lpstr>
      <vt:lpstr>Res DPA 647 21</vt:lpstr>
      <vt:lpstr>Res DPA 282 21</vt:lpstr>
      <vt:lpstr>Res DPA 522 20</vt:lpstr>
      <vt:lpstr>Res DPA 1078 y 1753 19</vt:lpstr>
      <vt:lpstr>Aplicación Res DPA 1752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Prado</dc:creator>
  <cp:lastModifiedBy>Nestor Prado</cp:lastModifiedBy>
  <dcterms:created xsi:type="dcterms:W3CDTF">2024-09-03T12:14:29Z</dcterms:created>
  <dcterms:modified xsi:type="dcterms:W3CDTF">2024-12-13T11:31:08Z</dcterms:modified>
</cp:coreProperties>
</file>